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8915" windowHeight="11280" activeTab="0"/>
  </bookViews>
  <sheets>
    <sheet name="Contabilidad" sheetId="1" r:id="rId1"/>
    <sheet name="Fondo" sheetId="2" r:id="rId2"/>
    <sheet name="Sanciones" sheetId="3" r:id="rId3"/>
    <sheet name="Publicidad" sheetId="4" r:id="rId4"/>
  </sheets>
  <definedNames/>
  <calcPr fullCalcOnLoad="1"/>
</workbook>
</file>

<file path=xl/sharedStrings.xml><?xml version="1.0" encoding="utf-8"?>
<sst xmlns="http://schemas.openxmlformats.org/spreadsheetml/2006/main" count="881" uniqueCount="98">
  <si>
    <t>Porcentaje de actores (partidos políticos) que presentó en tiempo y forma los informes de gastos de precampaña</t>
  </si>
  <si>
    <t>Porcentaje de actores (candidatos independientes) que presentó en tiempo y forma los informes para la obtención de apoyo ciudadano</t>
  </si>
  <si>
    <t>Porcentaje de actores que presentó en tiempo y forma los informes de gastos de campaña</t>
  </si>
  <si>
    <t>PRECPPOL</t>
  </si>
  <si>
    <t>PRECI</t>
  </si>
  <si>
    <t>CAMINFO</t>
  </si>
  <si>
    <t>CAMINFOPPOL</t>
  </si>
  <si>
    <t>CAMINFOCI</t>
  </si>
  <si>
    <t>Porcentaje de irregularidades sustanciales detectadas en informes de gastos de precampaña</t>
  </si>
  <si>
    <t>Monto involucrado en irregularidades en informes de precampaña</t>
  </si>
  <si>
    <t>Porcentaje de irregularidades sustanciales detectadas en informes de gastos de campaña</t>
  </si>
  <si>
    <t>Monto involucrado en irregularidades en informes de gastos de campaña</t>
  </si>
  <si>
    <t>Número de rebases detectados</t>
  </si>
  <si>
    <t xml:space="preserve">Monto de rebases del tope de gastos de campaña </t>
  </si>
  <si>
    <t>Número de casos con presencia de financiamiento ilícito</t>
  </si>
  <si>
    <t>Monto de financiamiento ilícito detectado</t>
  </si>
  <si>
    <t>Número de casos con presencia de financiamiento público (fuera de lo previsto en la ley)</t>
  </si>
  <si>
    <t>Monto de financiamiento público detectado</t>
  </si>
  <si>
    <t>Irregularidades detectadas</t>
  </si>
  <si>
    <t>IRREG</t>
  </si>
  <si>
    <t>IRREGPRE</t>
  </si>
  <si>
    <t>IRREGCAM</t>
  </si>
  <si>
    <t>REBASE</t>
  </si>
  <si>
    <t>REBASE$</t>
  </si>
  <si>
    <t>FINILI</t>
  </si>
  <si>
    <t>FINILI$</t>
  </si>
  <si>
    <t>FINPUBL</t>
  </si>
  <si>
    <t>FINPUBL$</t>
  </si>
  <si>
    <t>IRREG CI</t>
  </si>
  <si>
    <t>IRREG PPOL</t>
  </si>
  <si>
    <t>NO IRREG</t>
  </si>
  <si>
    <t>NO INFORMES</t>
  </si>
  <si>
    <t>%IRREG PPOL</t>
  </si>
  <si>
    <t>%IRREG CI</t>
  </si>
  <si>
    <t>%IRREG</t>
  </si>
  <si>
    <t>IRREGSUSPRE</t>
  </si>
  <si>
    <t>IRREGSUSPRE$</t>
  </si>
  <si>
    <t>IRREGSUSCAM</t>
  </si>
  <si>
    <t>IRREGSUSCAM$</t>
  </si>
  <si>
    <t>Número de elecciones anuladas por rebase</t>
  </si>
  <si>
    <t>Número de elecciones anuladas por recibir financiamiento ilícito</t>
  </si>
  <si>
    <t>Número de elecciones anuladas por recibir financiamiento público (fuera de lo previsto en la ley)</t>
  </si>
  <si>
    <t>Numero de revocaciones de registro de candidatos o negativo a registro como sanción por irregularidades</t>
  </si>
  <si>
    <t>Monto de sanciones en informes de precampaña</t>
  </si>
  <si>
    <t xml:space="preserve">Monto de sanciones por rebase </t>
  </si>
  <si>
    <t>Monto de sanciones por recibir financiamiento ilícito</t>
  </si>
  <si>
    <t>Monto de sanciones por recibir financiamiento público (fuera de lo previsto en la ley)</t>
  </si>
  <si>
    <t>NULREBASE</t>
  </si>
  <si>
    <t>NULILICITO</t>
  </si>
  <si>
    <t>NULPUBL</t>
  </si>
  <si>
    <t>REGCANC</t>
  </si>
  <si>
    <t>SANPRE$</t>
  </si>
  <si>
    <t>SANREBASE$</t>
  </si>
  <si>
    <t>SANILI$</t>
  </si>
  <si>
    <t>SANPUB$</t>
  </si>
  <si>
    <t>NRO</t>
  </si>
  <si>
    <t>PPOL</t>
  </si>
  <si>
    <t>CI</t>
  </si>
  <si>
    <t>PRIVTRANS</t>
  </si>
  <si>
    <t>INFOTRANS</t>
  </si>
  <si>
    <t>FEMLIDER</t>
  </si>
  <si>
    <t>N/A</t>
  </si>
  <si>
    <t>Monto de sanciones en informes de campaña</t>
  </si>
  <si>
    <t>SANCAM$</t>
  </si>
  <si>
    <t>Porcentaje de actores que no usaron correctamente el financiamiento específico para fomentar el liderazgo político de las mujeres</t>
  </si>
  <si>
    <t>Monto de uso incorrecto del financiamiento específico para fomentar el liderazgo político de las mujeres</t>
  </si>
  <si>
    <t>FEMLIDER$</t>
  </si>
  <si>
    <t>Fecha de publicación en la página web del dictamen consolidado de los informes de precampaña</t>
  </si>
  <si>
    <t>Fecha de publicación en la página web del dictamen consolidado de los informes de campaña</t>
  </si>
  <si>
    <t>%</t>
  </si>
  <si>
    <t>WEBPUBLPRE</t>
  </si>
  <si>
    <t>WEBPUBLCAM</t>
  </si>
  <si>
    <t>Número de solicitudes de transparencia sobre aportaciones privadas</t>
  </si>
  <si>
    <t>Número de solicitudes de transparencia sobre informes y fiscalización</t>
  </si>
  <si>
    <t>Baja California Sur</t>
  </si>
  <si>
    <t>Nro obligados</t>
  </si>
  <si>
    <t>Nro informes</t>
  </si>
  <si>
    <t>Campeche</t>
  </si>
  <si>
    <t>Colima</t>
  </si>
  <si>
    <t>Guerrero</t>
  </si>
  <si>
    <t>Nuevo León</t>
  </si>
  <si>
    <t>Querétaro</t>
  </si>
  <si>
    <t>San Luis Potosí</t>
  </si>
  <si>
    <t>Sonora</t>
  </si>
  <si>
    <t>Michoacán</t>
  </si>
  <si>
    <t>TOTAL</t>
  </si>
  <si>
    <t>Distrito Federal</t>
  </si>
  <si>
    <t>Guanajuato</t>
  </si>
  <si>
    <t>Morelos</t>
  </si>
  <si>
    <t>México</t>
  </si>
  <si>
    <t>Jalisco</t>
  </si>
  <si>
    <t>Tabasco</t>
  </si>
  <si>
    <t>Yucatán</t>
  </si>
  <si>
    <t>Chiapas</t>
  </si>
  <si>
    <t>No hubo</t>
  </si>
  <si>
    <t>Faltan datos de Michoacán y Jalisco</t>
  </si>
  <si>
    <t>Faltan datos de Campeche</t>
  </si>
  <si>
    <t xml:space="preserve">Faltan datos de Campeche, Jalisco y Michoacán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</si>
</sst>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FEF8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BF8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rgb="FFAAB79B"/>
        <bgColor indexed="64"/>
      </patternFill>
    </fill>
    <fill>
      <patternFill patternType="solid">
        <fgColor rgb="FFA3D1FF"/>
        <bgColor indexed="64"/>
      </patternFill>
    </fill>
    <fill>
      <patternFill patternType="solid">
        <fgColor rgb="FFFFA7D3"/>
        <bgColor indexed="64"/>
      </patternFill>
    </fill>
    <fill>
      <patternFill patternType="solid">
        <fgColor rgb="FFA8E6E0"/>
        <bgColor indexed="64"/>
      </patternFill>
    </fill>
    <fill>
      <patternFill patternType="solid">
        <fgColor rgb="FFFF7C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88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/>
    </xf>
    <xf numFmtId="4" fontId="37" fillId="0" borderId="0" xfId="0" applyNumberFormat="1" applyFont="1" applyAlignment="1">
      <alignment/>
    </xf>
    <xf numFmtId="0" fontId="0" fillId="0" borderId="0" xfId="0" applyBorder="1" applyAlignment="1">
      <alignment/>
    </xf>
    <xf numFmtId="4" fontId="37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/>
    </xf>
    <xf numFmtId="10" fontId="0" fillId="0" borderId="0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46" applyNumberFormat="1" applyFont="1" applyFill="1" applyAlignment="1">
      <alignment/>
    </xf>
    <xf numFmtId="2" fontId="0" fillId="0" borderId="0" xfId="52" applyNumberFormat="1" applyFont="1" applyFill="1" applyAlignment="1">
      <alignment/>
    </xf>
    <xf numFmtId="0" fontId="0" fillId="0" borderId="10" xfId="0" applyFill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4" borderId="11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10" xfId="0" applyFill="1" applyBorder="1" applyAlignment="1">
      <alignment/>
    </xf>
    <xf numFmtId="0" fontId="0" fillId="16" borderId="11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0" xfId="0" applyFill="1" applyBorder="1" applyAlignment="1">
      <alignment/>
    </xf>
    <xf numFmtId="0" fontId="0" fillId="15" borderId="0" xfId="0" applyFill="1" applyAlignment="1">
      <alignment/>
    </xf>
    <xf numFmtId="0" fontId="0" fillId="15" borderId="11" xfId="0" applyFill="1" applyBorder="1" applyAlignment="1">
      <alignment horizontal="center"/>
    </xf>
    <xf numFmtId="0" fontId="0" fillId="15" borderId="0" xfId="0" applyFill="1" applyBorder="1" applyAlignment="1">
      <alignment/>
    </xf>
    <xf numFmtId="0" fontId="0" fillId="15" borderId="10" xfId="0" applyFill="1" applyBorder="1" applyAlignment="1">
      <alignment/>
    </xf>
    <xf numFmtId="0" fontId="0" fillId="14" borderId="11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10" fontId="0" fillId="14" borderId="0" xfId="0" applyNumberFormat="1" applyFill="1" applyBorder="1" applyAlignment="1">
      <alignment horizontal="center"/>
    </xf>
    <xf numFmtId="10" fontId="0" fillId="1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9" borderId="1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0" xfId="0" applyFill="1" applyBorder="1" applyAlignment="1">
      <alignment/>
    </xf>
    <xf numFmtId="0" fontId="0" fillId="17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15" borderId="11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15" borderId="0" xfId="0" applyFill="1" applyBorder="1" applyAlignment="1">
      <alignment horizontal="center"/>
    </xf>
    <xf numFmtId="10" fontId="0" fillId="15" borderId="0" xfId="0" applyNumberFormat="1" applyFill="1" applyBorder="1" applyAlignment="1">
      <alignment horizontal="center"/>
    </xf>
    <xf numFmtId="10" fontId="0" fillId="15" borderId="10" xfId="0" applyNumberForma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10" fontId="0" fillId="16" borderId="0" xfId="0" applyNumberFormat="1" applyFill="1" applyBorder="1" applyAlignment="1">
      <alignment horizontal="center"/>
    </xf>
    <xf numFmtId="10" fontId="0" fillId="16" borderId="10" xfId="0" applyNumberFormat="1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10" fontId="0" fillId="18" borderId="0" xfId="0" applyNumberFormat="1" applyFill="1" applyBorder="1" applyAlignment="1">
      <alignment horizontal="center"/>
    </xf>
    <xf numFmtId="10" fontId="0" fillId="18" borderId="10" xfId="0" applyNumberForma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10" fontId="0" fillId="17" borderId="0" xfId="0" applyNumberFormat="1" applyFill="1" applyBorder="1" applyAlignment="1">
      <alignment horizontal="center"/>
    </xf>
    <xf numFmtId="10" fontId="0" fillId="17" borderId="10" xfId="0" applyNumberForma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0" fontId="0" fillId="19" borderId="0" xfId="0" applyNumberFormat="1" applyFill="1" applyBorder="1" applyAlignment="1">
      <alignment horizontal="center"/>
    </xf>
    <xf numFmtId="10" fontId="0" fillId="19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0" fontId="0" fillId="35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0" fontId="0" fillId="37" borderId="0" xfId="0" applyNumberFormat="1" applyFill="1" applyBorder="1" applyAlignment="1">
      <alignment horizontal="center"/>
    </xf>
    <xf numFmtId="10" fontId="0" fillId="37" borderId="10" xfId="0" applyNumberForma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10" fontId="0" fillId="39" borderId="0" xfId="0" applyNumberFormat="1" applyFill="1" applyBorder="1" applyAlignment="1">
      <alignment horizontal="center"/>
    </xf>
    <xf numFmtId="10" fontId="0" fillId="39" borderId="10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10" fontId="0" fillId="38" borderId="0" xfId="0" applyNumberFormat="1" applyFill="1" applyBorder="1" applyAlignment="1">
      <alignment horizontal="center"/>
    </xf>
    <xf numFmtId="10" fontId="0" fillId="38" borderId="10" xfId="0" applyNumberForma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10" xfId="0" applyFill="1" applyBorder="1" applyAlignment="1">
      <alignment/>
    </xf>
    <xf numFmtId="0" fontId="0" fillId="40" borderId="0" xfId="0" applyFill="1" applyAlignment="1">
      <alignment/>
    </xf>
    <xf numFmtId="0" fontId="0" fillId="42" borderId="0" xfId="0" applyFill="1" applyAlignment="1">
      <alignment/>
    </xf>
    <xf numFmtId="0" fontId="0" fillId="40" borderId="11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10" fontId="0" fillId="40" borderId="0" xfId="0" applyNumberFormat="1" applyFill="1" applyBorder="1" applyAlignment="1">
      <alignment horizontal="center"/>
    </xf>
    <xf numFmtId="10" fontId="0" fillId="40" borderId="10" xfId="0" applyNumberForma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10" fontId="0" fillId="41" borderId="0" xfId="0" applyNumberFormat="1" applyFill="1" applyBorder="1" applyAlignment="1">
      <alignment horizontal="center"/>
    </xf>
    <xf numFmtId="10" fontId="0" fillId="41" borderId="10" xfId="0" applyNumberFormat="1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10" fontId="0" fillId="42" borderId="0" xfId="0" applyNumberFormat="1" applyFill="1" applyBorder="1" applyAlignment="1">
      <alignment horizontal="center"/>
    </xf>
    <xf numFmtId="10" fontId="0" fillId="42" borderId="10" xfId="0" applyNumberFormat="1" applyFill="1" applyBorder="1" applyAlignment="1">
      <alignment horizontal="center"/>
    </xf>
    <xf numFmtId="0" fontId="0" fillId="43" borderId="11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10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10" xfId="0" applyFill="1" applyBorder="1" applyAlignment="1">
      <alignment/>
    </xf>
    <xf numFmtId="0" fontId="0" fillId="43" borderId="11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10" fontId="0" fillId="43" borderId="0" xfId="0" applyNumberFormat="1" applyFill="1" applyBorder="1" applyAlignment="1">
      <alignment horizontal="center"/>
    </xf>
    <xf numFmtId="10" fontId="0" fillId="43" borderId="10" xfId="0" applyNumberFormat="1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10" fontId="0" fillId="44" borderId="0" xfId="0" applyNumberFormat="1" applyFill="1" applyBorder="1" applyAlignment="1">
      <alignment horizontal="center"/>
    </xf>
    <xf numFmtId="10" fontId="0" fillId="44" borderId="10" xfId="0" applyNumberFormat="1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10" fontId="0" fillId="45" borderId="0" xfId="0" applyNumberFormat="1" applyFill="1" applyBorder="1" applyAlignment="1">
      <alignment horizontal="center"/>
    </xf>
    <xf numFmtId="10" fontId="0" fillId="45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/>
    </xf>
    <xf numFmtId="4" fontId="3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46" borderId="11" xfId="0" applyNumberFormat="1" applyFill="1" applyBorder="1" applyAlignment="1">
      <alignment horizontal="center"/>
    </xf>
    <xf numFmtId="10" fontId="0" fillId="46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3" fontId="0" fillId="46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4" fontId="0" fillId="46" borderId="0" xfId="0" applyNumberFormat="1" applyFill="1" applyBorder="1" applyAlignment="1">
      <alignment horizontal="center"/>
    </xf>
    <xf numFmtId="4" fontId="0" fillId="46" borderId="10" xfId="0" applyNumberForma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3" fontId="0" fillId="46" borderId="11" xfId="0" applyNumberFormat="1" applyFill="1" applyBorder="1" applyAlignment="1">
      <alignment horizontal="center"/>
    </xf>
    <xf numFmtId="10" fontId="0" fillId="46" borderId="10" xfId="0" applyNumberForma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4" fontId="0" fillId="46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37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46" borderId="0" xfId="0" applyFill="1" applyAlignment="1">
      <alignment/>
    </xf>
    <xf numFmtId="3" fontId="4" fillId="46" borderId="11" xfId="0" applyNumberFormat="1" applyFont="1" applyFill="1" applyBorder="1" applyAlignment="1">
      <alignment horizontal="center"/>
    </xf>
    <xf numFmtId="3" fontId="4" fillId="46" borderId="0" xfId="0" applyNumberFormat="1" applyFont="1" applyFill="1" applyBorder="1" applyAlignment="1">
      <alignment horizontal="center"/>
    </xf>
    <xf numFmtId="10" fontId="4" fillId="46" borderId="0" xfId="0" applyNumberFormat="1" applyFont="1" applyFill="1" applyBorder="1" applyAlignment="1">
      <alignment horizontal="center"/>
    </xf>
    <xf numFmtId="4" fontId="0" fillId="46" borderId="0" xfId="0" applyNumberFormat="1" applyFill="1" applyAlignment="1">
      <alignment/>
    </xf>
    <xf numFmtId="1" fontId="4" fillId="46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46" borderId="0" xfId="0" applyFont="1" applyFill="1" applyBorder="1" applyAlignment="1">
      <alignment horizontal="center"/>
    </xf>
    <xf numFmtId="4" fontId="0" fillId="46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65" fontId="37" fillId="46" borderId="0" xfId="0" applyNumberFormat="1" applyFont="1" applyFill="1" applyBorder="1" applyAlignment="1">
      <alignment horizontal="center"/>
    </xf>
    <xf numFmtId="4" fontId="0" fillId="46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7" fillId="46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5" fillId="43" borderId="11" xfId="0" applyFont="1" applyFill="1" applyBorder="1" applyAlignment="1">
      <alignment horizontal="center"/>
    </xf>
    <xf numFmtId="0" fontId="35" fillId="43" borderId="0" xfId="0" applyFont="1" applyFill="1" applyBorder="1" applyAlignment="1">
      <alignment horizontal="center"/>
    </xf>
    <xf numFmtId="0" fontId="35" fillId="43" borderId="10" xfId="0" applyFont="1" applyFill="1" applyBorder="1" applyAlignment="1">
      <alignment horizontal="center"/>
    </xf>
    <xf numFmtId="0" fontId="35" fillId="44" borderId="11" xfId="0" applyFont="1" applyFill="1" applyBorder="1" applyAlignment="1">
      <alignment horizontal="center"/>
    </xf>
    <xf numFmtId="0" fontId="35" fillId="44" borderId="0" xfId="0" applyFont="1" applyFill="1" applyBorder="1" applyAlignment="1">
      <alignment horizontal="center"/>
    </xf>
    <xf numFmtId="0" fontId="35" fillId="44" borderId="10" xfId="0" applyFont="1" applyFill="1" applyBorder="1" applyAlignment="1">
      <alignment horizontal="center"/>
    </xf>
    <xf numFmtId="0" fontId="35" fillId="45" borderId="11" xfId="0" applyFont="1" applyFill="1" applyBorder="1" applyAlignment="1">
      <alignment horizontal="center"/>
    </xf>
    <xf numFmtId="0" fontId="35" fillId="45" borderId="0" xfId="0" applyFont="1" applyFill="1" applyBorder="1" applyAlignment="1">
      <alignment horizontal="center"/>
    </xf>
    <xf numFmtId="0" fontId="35" fillId="45" borderId="10" xfId="0" applyFont="1" applyFill="1" applyBorder="1" applyAlignment="1">
      <alignment horizontal="center"/>
    </xf>
    <xf numFmtId="0" fontId="35" fillId="37" borderId="11" xfId="0" applyFont="1" applyFill="1" applyBorder="1" applyAlignment="1">
      <alignment horizontal="center"/>
    </xf>
    <xf numFmtId="0" fontId="35" fillId="37" borderId="0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5" fillId="14" borderId="11" xfId="0" applyFont="1" applyFill="1" applyBorder="1" applyAlignment="1">
      <alignment horizontal="center"/>
    </xf>
    <xf numFmtId="0" fontId="35" fillId="14" borderId="0" xfId="0" applyFont="1" applyFill="1" applyBorder="1" applyAlignment="1">
      <alignment horizontal="center"/>
    </xf>
    <xf numFmtId="0" fontId="35" fillId="14" borderId="10" xfId="0" applyFont="1" applyFill="1" applyBorder="1" applyAlignment="1">
      <alignment horizontal="center"/>
    </xf>
    <xf numFmtId="0" fontId="35" fillId="15" borderId="0" xfId="0" applyFont="1" applyFill="1" applyAlignment="1">
      <alignment horizontal="center"/>
    </xf>
    <xf numFmtId="0" fontId="35" fillId="16" borderId="11" xfId="0" applyFont="1" applyFill="1" applyBorder="1" applyAlignment="1">
      <alignment horizontal="center"/>
    </xf>
    <xf numFmtId="0" fontId="35" fillId="16" borderId="0" xfId="0" applyFont="1" applyFill="1" applyBorder="1" applyAlignment="1">
      <alignment horizontal="center"/>
    </xf>
    <xf numFmtId="0" fontId="35" fillId="16" borderId="10" xfId="0" applyFont="1" applyFill="1" applyBorder="1" applyAlignment="1">
      <alignment horizontal="center"/>
    </xf>
    <xf numFmtId="0" fontId="35" fillId="35" borderId="11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38" borderId="11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35" fillId="38" borderId="10" xfId="0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/>
    </xf>
    <xf numFmtId="0" fontId="35" fillId="42" borderId="0" xfId="0" applyFont="1" applyFill="1" applyBorder="1" applyAlignment="1">
      <alignment horizontal="center"/>
    </xf>
    <xf numFmtId="0" fontId="35" fillId="42" borderId="10" xfId="0" applyFont="1" applyFill="1" applyBorder="1" applyAlignment="1">
      <alignment horizontal="center"/>
    </xf>
    <xf numFmtId="0" fontId="35" fillId="19" borderId="11" xfId="0" applyFont="1" applyFill="1" applyBorder="1" applyAlignment="1">
      <alignment horizontal="center"/>
    </xf>
    <xf numFmtId="0" fontId="35" fillId="19" borderId="0" xfId="0" applyFont="1" applyFill="1" applyBorder="1" applyAlignment="1">
      <alignment horizontal="center"/>
    </xf>
    <xf numFmtId="0" fontId="35" fillId="19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4" borderId="0" xfId="0" applyFont="1" applyFill="1" applyAlignment="1">
      <alignment horizontal="center"/>
    </xf>
    <xf numFmtId="0" fontId="35" fillId="39" borderId="11" xfId="0" applyFont="1" applyFill="1" applyBorder="1" applyAlignment="1">
      <alignment horizontal="center"/>
    </xf>
    <xf numFmtId="0" fontId="35" fillId="39" borderId="0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center"/>
    </xf>
    <xf numFmtId="0" fontId="35" fillId="18" borderId="11" xfId="0" applyFont="1" applyFill="1" applyBorder="1" applyAlignment="1">
      <alignment horizontal="center"/>
    </xf>
    <xf numFmtId="0" fontId="35" fillId="18" borderId="0" xfId="0" applyFont="1" applyFill="1" applyBorder="1" applyAlignment="1">
      <alignment horizontal="center"/>
    </xf>
    <xf numFmtId="0" fontId="35" fillId="18" borderId="10" xfId="0" applyFont="1" applyFill="1" applyBorder="1" applyAlignment="1">
      <alignment horizontal="center"/>
    </xf>
    <xf numFmtId="0" fontId="35" fillId="17" borderId="0" xfId="0" applyFont="1" applyFill="1" applyAlignment="1">
      <alignment horizontal="center"/>
    </xf>
    <xf numFmtId="0" fontId="35" fillId="41" borderId="11" xfId="0" applyFont="1" applyFill="1" applyBorder="1" applyAlignment="1">
      <alignment horizontal="center"/>
    </xf>
    <xf numFmtId="0" fontId="35" fillId="41" borderId="0" xfId="0" applyFont="1" applyFill="1" applyBorder="1" applyAlignment="1">
      <alignment horizontal="center"/>
    </xf>
    <xf numFmtId="0" fontId="35" fillId="41" borderId="10" xfId="0" applyFont="1" applyFill="1" applyBorder="1" applyAlignment="1">
      <alignment horizontal="center"/>
    </xf>
    <xf numFmtId="0" fontId="35" fillId="40" borderId="11" xfId="0" applyFont="1" applyFill="1" applyBorder="1" applyAlignment="1">
      <alignment horizontal="center"/>
    </xf>
    <xf numFmtId="0" fontId="35" fillId="40" borderId="0" xfId="0" applyFont="1" applyFill="1" applyBorder="1" applyAlignment="1">
      <alignment horizontal="center"/>
    </xf>
    <xf numFmtId="0" fontId="35" fillId="40" borderId="10" xfId="0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47" borderId="0" xfId="0" applyNumberFormat="1" applyFill="1" applyBorder="1" applyAlignment="1">
      <alignment horizontal="center"/>
    </xf>
    <xf numFmtId="3" fontId="0" fillId="47" borderId="10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46" borderId="11" xfId="0" applyNumberFormat="1" applyFill="1" applyBorder="1" applyAlignment="1">
      <alignment horizontal="center"/>
    </xf>
    <xf numFmtId="4" fontId="0" fillId="46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5" fillId="17" borderId="11" xfId="0" applyFont="1" applyFill="1" applyBorder="1" applyAlignment="1">
      <alignment horizontal="center"/>
    </xf>
    <xf numFmtId="0" fontId="35" fillId="17" borderId="0" xfId="0" applyFont="1" applyFill="1" applyBorder="1" applyAlignment="1">
      <alignment horizontal="center"/>
    </xf>
    <xf numFmtId="0" fontId="35" fillId="17" borderId="10" xfId="0" applyFont="1" applyFill="1" applyBorder="1" applyAlignment="1">
      <alignment horizontal="center"/>
    </xf>
    <xf numFmtId="0" fontId="35" fillId="15" borderId="11" xfId="0" applyFont="1" applyFill="1" applyBorder="1" applyAlignment="1">
      <alignment horizontal="center"/>
    </xf>
    <xf numFmtId="0" fontId="35" fillId="15" borderId="0" xfId="0" applyFont="1" applyFill="1" applyBorder="1" applyAlignment="1">
      <alignment horizontal="center"/>
    </xf>
    <xf numFmtId="0" fontId="35" fillId="15" borderId="10" xfId="0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5" fillId="39" borderId="0" xfId="0" applyFont="1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"/>
  <sheetViews>
    <sheetView tabSelected="1" zoomScalePageLayoutView="0" workbookViewId="0" topLeftCell="A1">
      <selection activeCell="D34" sqref="D34"/>
    </sheetView>
  </sheetViews>
  <sheetFormatPr defaultColWidth="11.421875" defaultRowHeight="15"/>
  <cols>
    <col min="2" max="2" width="14.140625" style="0" customWidth="1"/>
    <col min="3" max="3" width="13.421875" style="0" customWidth="1"/>
    <col min="4" max="4" width="12.57421875" style="0" customWidth="1"/>
    <col min="5" max="5" width="10.57421875" style="0" customWidth="1"/>
    <col min="6" max="6" width="14.00390625" style="0" customWidth="1"/>
    <col min="7" max="7" width="12.7109375" style="0" customWidth="1"/>
    <col min="8" max="8" width="10.00390625" style="0" customWidth="1"/>
    <col min="9" max="9" width="13.57421875" style="0" customWidth="1"/>
    <col min="10" max="10" width="11.421875" style="0" customWidth="1"/>
    <col min="11" max="11" width="9.57421875" style="0" customWidth="1"/>
    <col min="12" max="12" width="14.00390625" style="0" customWidth="1"/>
    <col min="13" max="13" width="12.7109375" style="0" customWidth="1"/>
    <col min="14" max="14" width="10.00390625" style="0" customWidth="1"/>
    <col min="15" max="15" width="13.421875" style="0" customWidth="1"/>
    <col min="16" max="16" width="12.57421875" style="0" customWidth="1"/>
    <col min="17" max="17" width="10.57421875" style="0" customWidth="1"/>
    <col min="18" max="18" width="14.00390625" style="0" customWidth="1"/>
    <col min="19" max="19" width="12.7109375" style="0" customWidth="1"/>
    <col min="20" max="20" width="10.00390625" style="0" customWidth="1"/>
    <col min="21" max="21" width="14.00390625" style="0" customWidth="1"/>
    <col min="22" max="22" width="12.7109375" style="0" customWidth="1"/>
    <col min="23" max="23" width="10.00390625" style="0" customWidth="1"/>
    <col min="24" max="24" width="14.00390625" style="0" customWidth="1"/>
    <col min="25" max="25" width="12.7109375" style="0" customWidth="1"/>
    <col min="26" max="26" width="10.00390625" style="0" customWidth="1"/>
    <col min="27" max="27" width="14.00390625" style="0" customWidth="1"/>
    <col min="28" max="28" width="12.7109375" style="0" customWidth="1"/>
    <col min="29" max="29" width="10.00390625" style="0" customWidth="1"/>
    <col min="30" max="30" width="14.00390625" style="0" customWidth="1"/>
    <col min="31" max="31" width="12.7109375" style="0" customWidth="1"/>
    <col min="32" max="32" width="10.00390625" style="0" customWidth="1"/>
    <col min="33" max="33" width="13.57421875" style="0" customWidth="1"/>
    <col min="34" max="34" width="11.421875" style="0" customWidth="1"/>
    <col min="35" max="35" width="9.57421875" style="0" customWidth="1"/>
    <col min="36" max="36" width="13.421875" style="0" customWidth="1"/>
    <col min="37" max="37" width="12.57421875" style="0" customWidth="1"/>
    <col min="38" max="38" width="10.57421875" style="0" customWidth="1"/>
    <col min="39" max="39" width="14.00390625" style="0" customWidth="1"/>
    <col min="40" max="40" width="12.7109375" style="0" customWidth="1"/>
    <col min="41" max="41" width="10.00390625" style="0" customWidth="1"/>
    <col min="42" max="42" width="13.57421875" style="0" customWidth="1"/>
    <col min="44" max="44" width="9.57421875" style="0" customWidth="1"/>
    <col min="45" max="45" width="13.57421875" style="0" customWidth="1"/>
    <col min="47" max="47" width="9.57421875" style="0" customWidth="1"/>
    <col min="48" max="48" width="13.57421875" style="0" customWidth="1"/>
    <col min="50" max="50" width="9.57421875" style="0" customWidth="1"/>
    <col min="51" max="51" width="13.57421875" style="0" customWidth="1"/>
    <col min="53" max="53" width="9.57421875" style="0" customWidth="1"/>
  </cols>
  <sheetData>
    <row r="1" spans="3:53" ht="15">
      <c r="C1" s="323" t="s">
        <v>74</v>
      </c>
      <c r="D1" s="324"/>
      <c r="E1" s="325"/>
      <c r="F1" s="326" t="s">
        <v>77</v>
      </c>
      <c r="G1" s="326"/>
      <c r="H1" s="326"/>
      <c r="I1" s="327" t="s">
        <v>78</v>
      </c>
      <c r="J1" s="328"/>
      <c r="K1" s="329"/>
      <c r="L1" s="346" t="s">
        <v>86</v>
      </c>
      <c r="M1" s="347"/>
      <c r="N1" s="348"/>
      <c r="O1" s="333" t="s">
        <v>87</v>
      </c>
      <c r="P1" s="334"/>
      <c r="Q1" s="335"/>
      <c r="R1" s="349" t="s">
        <v>79</v>
      </c>
      <c r="S1" s="350"/>
      <c r="T1" s="351"/>
      <c r="U1" s="356" t="s">
        <v>90</v>
      </c>
      <c r="V1" s="357"/>
      <c r="W1" s="358"/>
      <c r="X1" s="353" t="s">
        <v>89</v>
      </c>
      <c r="Y1" s="354"/>
      <c r="Z1" s="355"/>
      <c r="AA1" s="352" t="s">
        <v>84</v>
      </c>
      <c r="AB1" s="352"/>
      <c r="AC1" s="352"/>
      <c r="AD1" s="336" t="s">
        <v>88</v>
      </c>
      <c r="AE1" s="337"/>
      <c r="AF1" s="338"/>
      <c r="AG1" s="339" t="s">
        <v>80</v>
      </c>
      <c r="AH1" s="340"/>
      <c r="AI1" s="341"/>
      <c r="AJ1" s="342" t="s">
        <v>81</v>
      </c>
      <c r="AK1" s="343"/>
      <c r="AL1" s="344"/>
      <c r="AM1" s="345" t="s">
        <v>82</v>
      </c>
      <c r="AN1" s="345"/>
      <c r="AO1" s="345"/>
      <c r="AP1" s="330" t="s">
        <v>83</v>
      </c>
      <c r="AQ1" s="331"/>
      <c r="AR1" s="332"/>
      <c r="AS1" s="311" t="s">
        <v>91</v>
      </c>
      <c r="AT1" s="312"/>
      <c r="AU1" s="313"/>
      <c r="AV1" s="314" t="s">
        <v>92</v>
      </c>
      <c r="AW1" s="315"/>
      <c r="AX1" s="316"/>
      <c r="AY1" s="317" t="s">
        <v>93</v>
      </c>
      <c r="AZ1" s="318"/>
      <c r="BA1" s="319"/>
    </row>
    <row r="2" spans="3:53" ht="15">
      <c r="C2" s="33" t="s">
        <v>75</v>
      </c>
      <c r="D2" s="34" t="s">
        <v>76</v>
      </c>
      <c r="E2" s="35" t="s">
        <v>69</v>
      </c>
      <c r="F2" s="40" t="s">
        <v>75</v>
      </c>
      <c r="G2" s="40" t="s">
        <v>76</v>
      </c>
      <c r="H2" s="40" t="s">
        <v>69</v>
      </c>
      <c r="I2" s="37" t="s">
        <v>75</v>
      </c>
      <c r="J2" s="38" t="s">
        <v>76</v>
      </c>
      <c r="K2" s="39" t="s">
        <v>69</v>
      </c>
      <c r="L2" s="129" t="s">
        <v>75</v>
      </c>
      <c r="M2" s="130" t="s">
        <v>76</v>
      </c>
      <c r="N2" s="131" t="s">
        <v>69</v>
      </c>
      <c r="O2" s="118" t="s">
        <v>75</v>
      </c>
      <c r="P2" s="119" t="s">
        <v>76</v>
      </c>
      <c r="Q2" s="120" t="s">
        <v>69</v>
      </c>
      <c r="R2" s="52" t="s">
        <v>75</v>
      </c>
      <c r="S2" s="53" t="s">
        <v>76</v>
      </c>
      <c r="T2" s="54" t="s">
        <v>69</v>
      </c>
      <c r="U2" s="141" t="s">
        <v>75</v>
      </c>
      <c r="V2" s="141" t="s">
        <v>76</v>
      </c>
      <c r="W2" s="134" t="s">
        <v>69</v>
      </c>
      <c r="X2" s="135" t="s">
        <v>75</v>
      </c>
      <c r="Y2" s="136" t="s">
        <v>76</v>
      </c>
      <c r="Z2" s="137" t="s">
        <v>69</v>
      </c>
      <c r="AA2" s="55" t="s">
        <v>75</v>
      </c>
      <c r="AB2" s="55" t="s">
        <v>76</v>
      </c>
      <c r="AC2" s="66" t="s">
        <v>69</v>
      </c>
      <c r="AD2" s="142" t="s">
        <v>75</v>
      </c>
      <c r="AE2" s="142" t="s">
        <v>76</v>
      </c>
      <c r="AF2" s="142" t="s">
        <v>69</v>
      </c>
      <c r="AG2" s="49" t="s">
        <v>75</v>
      </c>
      <c r="AH2" s="50" t="s">
        <v>76</v>
      </c>
      <c r="AI2" s="51" t="s">
        <v>69</v>
      </c>
      <c r="AJ2" s="56" t="s">
        <v>75</v>
      </c>
      <c r="AK2" s="57" t="s">
        <v>76</v>
      </c>
      <c r="AL2" s="58" t="s">
        <v>69</v>
      </c>
      <c r="AM2" s="59" t="s">
        <v>75</v>
      </c>
      <c r="AN2" s="59" t="s">
        <v>76</v>
      </c>
      <c r="AO2" s="59" t="s">
        <v>69</v>
      </c>
      <c r="AP2" s="60" t="s">
        <v>75</v>
      </c>
      <c r="AQ2" s="61" t="s">
        <v>76</v>
      </c>
      <c r="AR2" s="62" t="s">
        <v>69</v>
      </c>
      <c r="AS2" s="155" t="s">
        <v>75</v>
      </c>
      <c r="AT2" s="156" t="s">
        <v>76</v>
      </c>
      <c r="AU2" s="157" t="s">
        <v>69</v>
      </c>
      <c r="AV2" s="158" t="s">
        <v>75</v>
      </c>
      <c r="AW2" s="159" t="s">
        <v>76</v>
      </c>
      <c r="AX2" s="160" t="s">
        <v>69</v>
      </c>
      <c r="AY2" s="161" t="s">
        <v>75</v>
      </c>
      <c r="AZ2" s="162" t="s">
        <v>76</v>
      </c>
      <c r="BA2" s="163" t="s">
        <v>69</v>
      </c>
    </row>
    <row r="3" spans="1:53" ht="15">
      <c r="A3" s="1" t="s">
        <v>0</v>
      </c>
      <c r="B3" t="s">
        <v>3</v>
      </c>
      <c r="C3" s="184">
        <v>123</v>
      </c>
      <c r="D3" s="185">
        <v>61</v>
      </c>
      <c r="E3" s="17">
        <f>D3/C3</f>
        <v>0.4959349593495935</v>
      </c>
      <c r="F3" s="184">
        <v>110</v>
      </c>
      <c r="G3" s="185">
        <v>100</v>
      </c>
      <c r="H3" s="17">
        <f>G3/F3</f>
        <v>0.9090909090909091</v>
      </c>
      <c r="I3" s="20">
        <v>76</v>
      </c>
      <c r="J3" s="21">
        <v>75</v>
      </c>
      <c r="K3" s="19">
        <f>J3/I3</f>
        <v>0.9868421052631579</v>
      </c>
      <c r="L3" s="20">
        <v>1043</v>
      </c>
      <c r="M3" s="21">
        <v>678</v>
      </c>
      <c r="N3" s="19">
        <f>M3/L3</f>
        <v>0.6500479386385427</v>
      </c>
      <c r="O3" s="20">
        <v>40</v>
      </c>
      <c r="P3" s="21">
        <v>40</v>
      </c>
      <c r="Q3" s="19">
        <f>40/40</f>
        <v>1</v>
      </c>
      <c r="R3" s="184">
        <v>223</v>
      </c>
      <c r="S3" s="185">
        <v>155</v>
      </c>
      <c r="T3" s="17">
        <f>S3/R3</f>
        <v>0.695067264573991</v>
      </c>
      <c r="U3" s="20"/>
      <c r="V3" s="21"/>
      <c r="W3" s="19"/>
      <c r="X3" s="20">
        <v>475</v>
      </c>
      <c r="Y3" s="21">
        <v>344</v>
      </c>
      <c r="Z3" s="19">
        <f>Y3/X3</f>
        <v>0.7242105263157895</v>
      </c>
      <c r="AA3" s="20"/>
      <c r="AB3" s="21"/>
      <c r="AC3" s="19"/>
      <c r="AD3" s="20">
        <v>189</v>
      </c>
      <c r="AE3" s="21">
        <v>171</v>
      </c>
      <c r="AF3" s="19">
        <f>AE3/AD3</f>
        <v>0.9047619047619048</v>
      </c>
      <c r="AG3" s="20">
        <v>177</v>
      </c>
      <c r="AH3" s="21">
        <v>155</v>
      </c>
      <c r="AI3" s="19">
        <f>AH3/AG3</f>
        <v>0.8757062146892656</v>
      </c>
      <c r="AJ3" s="20">
        <v>114</v>
      </c>
      <c r="AK3" s="21">
        <v>114</v>
      </c>
      <c r="AL3" s="19">
        <f>AK3/AJ3</f>
        <v>1</v>
      </c>
      <c r="AM3" s="20">
        <v>70</v>
      </c>
      <c r="AN3" s="21">
        <v>70</v>
      </c>
      <c r="AO3" s="19">
        <f>70/70</f>
        <v>1</v>
      </c>
      <c r="AP3" s="20">
        <v>122</v>
      </c>
      <c r="AQ3" s="21">
        <v>74</v>
      </c>
      <c r="AR3" s="19">
        <f>AQ3/AP3</f>
        <v>0.6065573770491803</v>
      </c>
      <c r="AS3" s="20">
        <v>276</v>
      </c>
      <c r="AT3" s="21">
        <v>215</v>
      </c>
      <c r="AU3" s="19">
        <f>AT3/AS3</f>
        <v>0.7789855072463768</v>
      </c>
      <c r="AV3" s="20">
        <v>88</v>
      </c>
      <c r="AW3" s="21">
        <v>72</v>
      </c>
      <c r="AX3" s="19">
        <f>AW3/AV3</f>
        <v>0.8181818181818182</v>
      </c>
      <c r="AY3" s="20">
        <v>0</v>
      </c>
      <c r="AZ3" s="21">
        <v>0</v>
      </c>
      <c r="BA3" s="19">
        <v>0</v>
      </c>
    </row>
    <row r="4" spans="1:53" ht="15">
      <c r="A4" s="1" t="s">
        <v>1</v>
      </c>
      <c r="B4" t="s">
        <v>4</v>
      </c>
      <c r="C4" s="184">
        <v>7</v>
      </c>
      <c r="D4" s="185">
        <v>7</v>
      </c>
      <c r="E4" s="17">
        <f>D4/C4</f>
        <v>1</v>
      </c>
      <c r="F4" s="186"/>
      <c r="G4" s="17"/>
      <c r="H4" s="17"/>
      <c r="I4" s="20">
        <v>6</v>
      </c>
      <c r="J4" s="21">
        <v>1</v>
      </c>
      <c r="K4" s="19">
        <f>1/6</f>
        <v>0.16666666666666666</v>
      </c>
      <c r="L4" s="20">
        <v>94</v>
      </c>
      <c r="M4" s="21">
        <v>66</v>
      </c>
      <c r="N4" s="19">
        <f>M4/L4</f>
        <v>0.7021276595744681</v>
      </c>
      <c r="O4" s="20">
        <v>1</v>
      </c>
      <c r="P4" s="21">
        <v>1</v>
      </c>
      <c r="Q4" s="19">
        <f>1/1</f>
        <v>1</v>
      </c>
      <c r="R4" s="187" t="s">
        <v>61</v>
      </c>
      <c r="S4" s="188" t="s">
        <v>61</v>
      </c>
      <c r="T4" s="188" t="s">
        <v>61</v>
      </c>
      <c r="U4" s="20">
        <v>5</v>
      </c>
      <c r="V4" s="21">
        <v>2</v>
      </c>
      <c r="W4" s="19">
        <f>V4/U4</f>
        <v>0.4</v>
      </c>
      <c r="X4" s="20">
        <v>15</v>
      </c>
      <c r="Y4" s="21">
        <v>6</v>
      </c>
      <c r="Z4" s="19">
        <f>6/15</f>
        <v>0.4</v>
      </c>
      <c r="AA4" s="20">
        <v>4</v>
      </c>
      <c r="AB4" s="21">
        <v>3</v>
      </c>
      <c r="AC4" s="19">
        <f>AB4/AA4</f>
        <v>0.75</v>
      </c>
      <c r="AD4" s="20">
        <v>2</v>
      </c>
      <c r="AE4" s="21">
        <v>2</v>
      </c>
      <c r="AF4" s="19">
        <f>2/2</f>
        <v>1</v>
      </c>
      <c r="AG4" s="20">
        <v>19</v>
      </c>
      <c r="AH4" s="21">
        <v>16</v>
      </c>
      <c r="AI4" s="19">
        <f>AH4/AG4</f>
        <v>0.8421052631578947</v>
      </c>
      <c r="AJ4" s="20">
        <v>16</v>
      </c>
      <c r="AK4" s="21">
        <v>9</v>
      </c>
      <c r="AL4" s="19">
        <f>AK4/AJ4</f>
        <v>0.5625</v>
      </c>
      <c r="AM4" s="20">
        <v>5</v>
      </c>
      <c r="AN4" s="21">
        <v>5</v>
      </c>
      <c r="AO4" s="19">
        <f>AN4/AM4</f>
        <v>1</v>
      </c>
      <c r="AP4" s="20">
        <v>7</v>
      </c>
      <c r="AQ4" s="21">
        <v>1</v>
      </c>
      <c r="AR4" s="19">
        <f>AQ4/AP4</f>
        <v>0.14285714285714285</v>
      </c>
      <c r="AS4" s="20">
        <v>4</v>
      </c>
      <c r="AT4" s="21">
        <v>4</v>
      </c>
      <c r="AU4" s="19">
        <f>4/4</f>
        <v>1</v>
      </c>
      <c r="AV4" s="20">
        <v>1</v>
      </c>
      <c r="AW4" s="21">
        <v>1</v>
      </c>
      <c r="AX4" s="19">
        <f>1/1</f>
        <v>1</v>
      </c>
      <c r="AY4" s="20">
        <v>2</v>
      </c>
      <c r="AZ4" s="21">
        <v>1</v>
      </c>
      <c r="BA4" s="19">
        <f>AZ4/AY4</f>
        <v>0.5</v>
      </c>
    </row>
    <row r="5" spans="1:53" ht="15">
      <c r="A5" s="1" t="s">
        <v>2</v>
      </c>
      <c r="B5" t="s">
        <v>5</v>
      </c>
      <c r="C5" s="20">
        <v>210</v>
      </c>
      <c r="D5" s="21">
        <v>119</v>
      </c>
      <c r="E5" s="19">
        <f>D5/C5</f>
        <v>0.5666666666666667</v>
      </c>
      <c r="F5" s="20">
        <f>F6+F7</f>
        <v>378</v>
      </c>
      <c r="G5" s="21">
        <f>G6+G7</f>
        <v>202</v>
      </c>
      <c r="H5" s="19">
        <f>G5/F5</f>
        <v>0.5343915343915344</v>
      </c>
      <c r="I5" s="20">
        <v>272</v>
      </c>
      <c r="J5" s="21">
        <v>218</v>
      </c>
      <c r="K5" s="19">
        <f>J5/I5</f>
        <v>0.8014705882352942</v>
      </c>
      <c r="L5" s="20">
        <f>L6+L7</f>
        <v>634</v>
      </c>
      <c r="M5" s="21">
        <f>M6+M7</f>
        <v>483</v>
      </c>
      <c r="N5" s="19">
        <f>M5/L5</f>
        <v>0.7618296529968455</v>
      </c>
      <c r="O5" s="20">
        <v>406</v>
      </c>
      <c r="P5" s="21">
        <v>190</v>
      </c>
      <c r="Q5" s="19">
        <f>P5/O5</f>
        <v>0.46798029556650245</v>
      </c>
      <c r="R5" s="20">
        <v>518</v>
      </c>
      <c r="S5" s="21">
        <v>311</v>
      </c>
      <c r="T5" s="19">
        <f>S5/R5</f>
        <v>0.6003861003861004</v>
      </c>
      <c r="U5" s="20">
        <f>U6+U7</f>
        <v>364</v>
      </c>
      <c r="V5" s="21">
        <f>V6+V7</f>
        <v>263</v>
      </c>
      <c r="W5" s="19">
        <f>V5/U5</f>
        <v>0.7225274725274725</v>
      </c>
      <c r="X5" s="20">
        <f>X6+X7</f>
        <v>449</v>
      </c>
      <c r="Y5" s="21">
        <f>Y6+Y7</f>
        <v>358</v>
      </c>
      <c r="Z5" s="19">
        <f>Y5/X5</f>
        <v>0.7973273942093542</v>
      </c>
      <c r="AA5" s="20">
        <f>AA6+AA7</f>
        <v>412</v>
      </c>
      <c r="AB5" s="21">
        <f>AB6+AB7</f>
        <v>345</v>
      </c>
      <c r="AC5" s="19">
        <f>AB5/AA5</f>
        <v>0.837378640776699</v>
      </c>
      <c r="AD5" s="267">
        <v>366</v>
      </c>
      <c r="AE5" s="21">
        <v>319</v>
      </c>
      <c r="AF5" s="19">
        <f>AE5/AD5</f>
        <v>0.8715846994535519</v>
      </c>
      <c r="AG5" s="20">
        <f>AG6+AG7</f>
        <v>927</v>
      </c>
      <c r="AH5" s="21">
        <f>AH6+AH7</f>
        <v>871</v>
      </c>
      <c r="AI5" s="19">
        <f>AH5/AG5</f>
        <v>0.9395900755124056</v>
      </c>
      <c r="AJ5" s="20">
        <v>268</v>
      </c>
      <c r="AK5" s="21">
        <v>186</v>
      </c>
      <c r="AL5" s="19">
        <f>AK5/AJ5</f>
        <v>0.6940298507462687</v>
      </c>
      <c r="AM5" s="275">
        <v>299</v>
      </c>
      <c r="AN5" s="21">
        <v>196</v>
      </c>
      <c r="AO5" s="19">
        <f>AN5/AM5</f>
        <v>0.6555183946488294</v>
      </c>
      <c r="AP5" s="20">
        <f>AP6+AP7</f>
        <v>322</v>
      </c>
      <c r="AQ5" s="21">
        <f>AQ6+AQ7</f>
        <v>195</v>
      </c>
      <c r="AR5" s="19">
        <f>AQ5/AP5</f>
        <v>0.6055900621118012</v>
      </c>
      <c r="AS5" s="20">
        <f>AS6+AS7</f>
        <v>412</v>
      </c>
      <c r="AT5" s="21">
        <f>AT6+AT7</f>
        <v>292</v>
      </c>
      <c r="AU5" s="19">
        <f>AT5/AS5</f>
        <v>0.7087378640776699</v>
      </c>
      <c r="AV5" s="20">
        <v>174</v>
      </c>
      <c r="AW5" s="21">
        <v>133</v>
      </c>
      <c r="AX5" s="19">
        <f>AW5/AV5</f>
        <v>0.764367816091954</v>
      </c>
      <c r="AY5" s="20">
        <f>AY6+AY7</f>
        <v>226</v>
      </c>
      <c r="AZ5" s="21">
        <f>AZ6+AZ7</f>
        <v>100</v>
      </c>
      <c r="BA5" s="19">
        <f>AZ5/AY5</f>
        <v>0.4424778761061947</v>
      </c>
    </row>
    <row r="6" spans="2:53" ht="15">
      <c r="B6" t="s">
        <v>6</v>
      </c>
      <c r="C6" s="20">
        <v>198</v>
      </c>
      <c r="D6" s="21">
        <v>114</v>
      </c>
      <c r="E6" s="19">
        <f>D6/C6</f>
        <v>0.5757575757575758</v>
      </c>
      <c r="F6" s="20">
        <v>376</v>
      </c>
      <c r="G6" s="21">
        <v>200</v>
      </c>
      <c r="H6" s="19">
        <f>G6/F6</f>
        <v>0.5319148936170213</v>
      </c>
      <c r="I6" s="20">
        <v>272</v>
      </c>
      <c r="J6" s="21">
        <v>218</v>
      </c>
      <c r="K6" s="19">
        <f>J6/I6</f>
        <v>0.8014705882352942</v>
      </c>
      <c r="L6" s="20">
        <v>626</v>
      </c>
      <c r="M6" s="21">
        <v>475</v>
      </c>
      <c r="N6" s="19">
        <f>M6/L6</f>
        <v>0.7587859424920128</v>
      </c>
      <c r="O6" s="20">
        <v>406</v>
      </c>
      <c r="P6" s="21">
        <v>190</v>
      </c>
      <c r="Q6" s="19">
        <f>P6/O6</f>
        <v>0.46798029556650245</v>
      </c>
      <c r="R6" s="20">
        <v>518</v>
      </c>
      <c r="S6" s="21">
        <v>311</v>
      </c>
      <c r="T6" s="19">
        <f>S6/R6</f>
        <v>0.6003861003861004</v>
      </c>
      <c r="U6" s="20">
        <v>362</v>
      </c>
      <c r="V6" s="21">
        <v>261</v>
      </c>
      <c r="W6" s="19">
        <f>V6/U6</f>
        <v>0.7209944751381215</v>
      </c>
      <c r="X6" s="20">
        <v>447</v>
      </c>
      <c r="Y6" s="21">
        <v>356</v>
      </c>
      <c r="Z6" s="19">
        <f>Y6/X6</f>
        <v>0.796420581655481</v>
      </c>
      <c r="AA6" s="20">
        <v>410</v>
      </c>
      <c r="AB6" s="21">
        <v>344</v>
      </c>
      <c r="AC6" s="19">
        <f>AB6/AA6</f>
        <v>0.8390243902439024</v>
      </c>
      <c r="AD6" s="20">
        <v>366</v>
      </c>
      <c r="AE6" s="21">
        <v>319</v>
      </c>
      <c r="AF6" s="19">
        <f>AE6/AD6</f>
        <v>0.8715846994535519</v>
      </c>
      <c r="AG6" s="20">
        <v>894</v>
      </c>
      <c r="AH6" s="21">
        <v>838</v>
      </c>
      <c r="AI6" s="19">
        <f>AH6/AG6</f>
        <v>0.9373601789709173</v>
      </c>
      <c r="AJ6" s="20">
        <v>268</v>
      </c>
      <c r="AK6" s="21">
        <v>186</v>
      </c>
      <c r="AL6" s="19">
        <f>AK6/AJ6</f>
        <v>0.6940298507462687</v>
      </c>
      <c r="AM6" s="20">
        <v>299</v>
      </c>
      <c r="AN6" s="21">
        <v>196</v>
      </c>
      <c r="AO6" s="19">
        <f>AN6/AM6</f>
        <v>0.6555183946488294</v>
      </c>
      <c r="AP6" s="20">
        <v>318</v>
      </c>
      <c r="AQ6" s="21">
        <v>195</v>
      </c>
      <c r="AR6" s="19">
        <f>AQ6/AP6</f>
        <v>0.6132075471698113</v>
      </c>
      <c r="AS6" s="20">
        <v>410</v>
      </c>
      <c r="AT6" s="21">
        <v>290</v>
      </c>
      <c r="AU6" s="19">
        <f>AT6/AS6</f>
        <v>0.7073170731707317</v>
      </c>
      <c r="AV6" s="20">
        <v>174</v>
      </c>
      <c r="AW6" s="21">
        <v>133</v>
      </c>
      <c r="AX6" s="19">
        <f>AW6/AV6</f>
        <v>0.764367816091954</v>
      </c>
      <c r="AY6" s="20">
        <v>225</v>
      </c>
      <c r="AZ6" s="21">
        <v>99</v>
      </c>
      <c r="BA6" s="19">
        <f>AZ6/AY6</f>
        <v>0.44</v>
      </c>
    </row>
    <row r="7" spans="2:53" ht="15">
      <c r="B7" t="s">
        <v>7</v>
      </c>
      <c r="C7" s="20">
        <v>12</v>
      </c>
      <c r="D7" s="21">
        <v>5</v>
      </c>
      <c r="E7" s="19">
        <f>D7/C7</f>
        <v>0.4166666666666667</v>
      </c>
      <c r="F7" s="20">
        <v>2</v>
      </c>
      <c r="G7" s="21">
        <v>2</v>
      </c>
      <c r="H7" s="19">
        <f>G7/F7</f>
        <v>1</v>
      </c>
      <c r="I7" s="187" t="s">
        <v>61</v>
      </c>
      <c r="J7" s="188" t="s">
        <v>61</v>
      </c>
      <c r="K7" s="188" t="s">
        <v>61</v>
      </c>
      <c r="L7" s="20">
        <v>8</v>
      </c>
      <c r="M7" s="21">
        <v>8</v>
      </c>
      <c r="N7" s="19">
        <f>M7/L7</f>
        <v>1</v>
      </c>
      <c r="O7" s="187" t="s">
        <v>61</v>
      </c>
      <c r="P7" s="188" t="s">
        <v>61</v>
      </c>
      <c r="Q7" s="188" t="s">
        <v>61</v>
      </c>
      <c r="R7" s="187" t="s">
        <v>61</v>
      </c>
      <c r="S7" s="188" t="s">
        <v>61</v>
      </c>
      <c r="T7" s="188" t="s">
        <v>61</v>
      </c>
      <c r="U7" s="20">
        <v>2</v>
      </c>
      <c r="V7" s="21">
        <v>2</v>
      </c>
      <c r="W7" s="19">
        <f>V7/U7</f>
        <v>1</v>
      </c>
      <c r="X7" s="20">
        <v>2</v>
      </c>
      <c r="Y7" s="21">
        <v>2</v>
      </c>
      <c r="Z7" s="19">
        <f>Y7/X7</f>
        <v>1</v>
      </c>
      <c r="AA7" s="20">
        <v>2</v>
      </c>
      <c r="AB7" s="21">
        <v>1</v>
      </c>
      <c r="AC7" s="19">
        <f>AB7/AA7</f>
        <v>0.5</v>
      </c>
      <c r="AD7" s="187" t="s">
        <v>61</v>
      </c>
      <c r="AE7" s="188" t="s">
        <v>61</v>
      </c>
      <c r="AF7" s="188" t="s">
        <v>61</v>
      </c>
      <c r="AG7" s="20">
        <v>33</v>
      </c>
      <c r="AH7" s="21">
        <v>33</v>
      </c>
      <c r="AI7" s="19">
        <f>AH7/AG7</f>
        <v>1</v>
      </c>
      <c r="AJ7" s="187" t="s">
        <v>61</v>
      </c>
      <c r="AK7" s="188" t="s">
        <v>61</v>
      </c>
      <c r="AL7" s="188" t="s">
        <v>61</v>
      </c>
      <c r="AM7" s="187" t="s">
        <v>61</v>
      </c>
      <c r="AN7" s="188" t="s">
        <v>61</v>
      </c>
      <c r="AO7" s="188" t="s">
        <v>61</v>
      </c>
      <c r="AP7" s="20">
        <v>4</v>
      </c>
      <c r="AQ7" s="21">
        <v>0</v>
      </c>
      <c r="AR7" s="19">
        <f>AQ7/AP7</f>
        <v>0</v>
      </c>
      <c r="AS7" s="20">
        <v>2</v>
      </c>
      <c r="AT7" s="21">
        <v>2</v>
      </c>
      <c r="AU7" s="19">
        <f>AT7/AS7</f>
        <v>1</v>
      </c>
      <c r="AV7" s="187" t="s">
        <v>61</v>
      </c>
      <c r="AW7" s="188" t="s">
        <v>61</v>
      </c>
      <c r="AX7" s="188" t="s">
        <v>61</v>
      </c>
      <c r="AY7" s="20">
        <v>1</v>
      </c>
      <c r="AZ7" s="21">
        <v>1</v>
      </c>
      <c r="BA7" s="19">
        <f>1/1</f>
        <v>1</v>
      </c>
    </row>
    <row r="8" spans="3:53" ht="15">
      <c r="C8" s="5"/>
      <c r="D8" s="5"/>
      <c r="E8" s="6"/>
      <c r="F8" s="5"/>
      <c r="G8" s="5"/>
      <c r="H8" s="6"/>
      <c r="I8" s="5"/>
      <c r="J8" s="5"/>
      <c r="K8" s="6"/>
      <c r="L8" s="5"/>
      <c r="M8" s="5"/>
      <c r="N8" s="6"/>
      <c r="Q8" s="6"/>
      <c r="R8" s="5"/>
      <c r="S8" s="5"/>
      <c r="T8" s="6"/>
      <c r="U8" s="5"/>
      <c r="V8" s="5"/>
      <c r="W8" s="6"/>
      <c r="X8" s="5"/>
      <c r="Y8" s="5"/>
      <c r="Z8" s="6"/>
      <c r="AA8" s="5"/>
      <c r="AB8" s="5"/>
      <c r="AC8" s="6"/>
      <c r="AD8" s="5"/>
      <c r="AE8" s="5"/>
      <c r="AF8" s="6"/>
      <c r="AG8" s="5"/>
      <c r="AH8" s="5"/>
      <c r="AI8" s="6"/>
      <c r="AL8" s="6"/>
      <c r="AM8" s="5"/>
      <c r="AN8" s="5"/>
      <c r="AO8" s="6"/>
      <c r="AP8" s="5"/>
      <c r="AQ8" s="5"/>
      <c r="AR8" s="6"/>
      <c r="AS8" s="5"/>
      <c r="AT8" s="5"/>
      <c r="AU8" s="6"/>
      <c r="AV8" s="5"/>
      <c r="AW8" s="5"/>
      <c r="AX8" s="6"/>
      <c r="AY8" s="5"/>
      <c r="AZ8" s="5"/>
      <c r="BA8" s="6"/>
    </row>
    <row r="9" spans="6:41" ht="15">
      <c r="F9" s="5"/>
      <c r="G9" s="5"/>
      <c r="H9" s="6"/>
      <c r="L9" s="5"/>
      <c r="M9" s="5"/>
      <c r="N9" s="6"/>
      <c r="R9" s="5"/>
      <c r="S9" s="5"/>
      <c r="T9" s="6"/>
      <c r="U9" s="5"/>
      <c r="V9" s="5"/>
      <c r="W9" s="6"/>
      <c r="X9" s="5"/>
      <c r="Y9" s="5"/>
      <c r="Z9" s="6"/>
      <c r="AA9" s="5"/>
      <c r="AB9" s="5"/>
      <c r="AC9" s="6"/>
      <c r="AD9" s="5"/>
      <c r="AE9" s="5"/>
      <c r="AF9" s="6"/>
      <c r="AM9" s="5"/>
      <c r="AN9" s="5"/>
      <c r="AO9" s="6"/>
    </row>
    <row r="11" spans="9:53" ht="15">
      <c r="I11" s="22"/>
      <c r="J11" s="23"/>
      <c r="K11" s="24"/>
      <c r="AG11" s="22"/>
      <c r="AH11" s="23"/>
      <c r="AI11" s="24"/>
      <c r="AP11" s="22"/>
      <c r="AQ11" s="23"/>
      <c r="AR11" s="24"/>
      <c r="AS11" s="22"/>
      <c r="AT11" s="23"/>
      <c r="AU11" s="24"/>
      <c r="AV11" s="22"/>
      <c r="AW11" s="23"/>
      <c r="AX11" s="24"/>
      <c r="AY11" s="22"/>
      <c r="AZ11" s="23"/>
      <c r="BA11" s="24"/>
    </row>
    <row r="12" spans="3:5" ht="15">
      <c r="C12" s="320" t="s">
        <v>85</v>
      </c>
      <c r="D12" s="321"/>
      <c r="E12" s="322"/>
    </row>
    <row r="13" spans="3:5" ht="15">
      <c r="C13" s="111" t="s">
        <v>75</v>
      </c>
      <c r="D13" s="112" t="s">
        <v>76</v>
      </c>
      <c r="E13" s="113" t="s">
        <v>69</v>
      </c>
    </row>
    <row r="14" spans="1:8" ht="15">
      <c r="A14" s="1" t="s">
        <v>0</v>
      </c>
      <c r="B14" t="s">
        <v>3</v>
      </c>
      <c r="C14" s="200">
        <f>C3+F3+I3+L3+O3+R3+X3+AD3+AG3+AJ3+AM3+AP3+AS3+AV3</f>
        <v>3126</v>
      </c>
      <c r="D14" s="192">
        <f>D3+G3+J3+M3+P3+S3+Y3+AE3+AH3+AK3+AN3+AQ3+AT3+AW3</f>
        <v>2324</v>
      </c>
      <c r="E14" s="201">
        <f>D14/C14</f>
        <v>0.7434420985284709</v>
      </c>
      <c r="F14" s="279" t="s">
        <v>95</v>
      </c>
      <c r="G14" s="279"/>
      <c r="H14" s="279"/>
    </row>
    <row r="15" spans="1:8" ht="15">
      <c r="A15" s="1" t="s">
        <v>1</v>
      </c>
      <c r="B15" t="s">
        <v>4</v>
      </c>
      <c r="C15" s="200">
        <f>C4+I4+L4+O4+U4+X4+AA4+AD4+AG4+AJ4+AM4+AP4+AS4+AV4+AY4</f>
        <v>188</v>
      </c>
      <c r="D15" s="192">
        <f>D4+J4+M4+P4+V4+Y4+AB4+AE4+AH4+AK4+AN4+AQ4+AT4+AW4+AZ4</f>
        <v>125</v>
      </c>
      <c r="E15" s="201">
        <f>D15/C15</f>
        <v>0.6648936170212766</v>
      </c>
      <c r="F15" s="279" t="s">
        <v>96</v>
      </c>
      <c r="G15" s="279"/>
      <c r="H15" s="279"/>
    </row>
    <row r="16" spans="1:5" ht="15">
      <c r="A16" s="1" t="s">
        <v>2</v>
      </c>
      <c r="B16" t="s">
        <v>5</v>
      </c>
      <c r="C16" s="20">
        <f>C17+C18</f>
        <v>6637</v>
      </c>
      <c r="D16" s="21">
        <f>D17+D18</f>
        <v>4781</v>
      </c>
      <c r="E16" s="19">
        <f>D16/C16</f>
        <v>0.7203555823414193</v>
      </c>
    </row>
    <row r="17" spans="2:5" ht="15">
      <c r="B17" t="s">
        <v>6</v>
      </c>
      <c r="C17" s="20">
        <f>C6+F6+I6+L6+O6+R6+U6+X6+AA6+AD6+AG6+AJ6+AM6+AP6+AS6+AV6+AY6</f>
        <v>6569</v>
      </c>
      <c r="D17" s="21">
        <f>D6+G6+J6+M6+P6+S6+V6+Y6+AB6+AE6+AH6+AK6+AN6+AQ6+AT6+AW6+AZ6</f>
        <v>4725</v>
      </c>
      <c r="E17" s="19">
        <f>D17/C17</f>
        <v>0.719287562794946</v>
      </c>
    </row>
    <row r="18" spans="2:5" ht="15">
      <c r="B18" t="s">
        <v>7</v>
      </c>
      <c r="C18" s="20">
        <f>C7+F7+L7+U7+X7+AA7+AG7+AP7+AS7+AY7</f>
        <v>68</v>
      </c>
      <c r="D18" s="21">
        <f>D7+G7+M7+V7+Y7+AB7+AH7+AQ7+AT7+AZ7</f>
        <v>56</v>
      </c>
      <c r="E18" s="19">
        <f>D18/C18</f>
        <v>0.8235294117647058</v>
      </c>
    </row>
  </sheetData>
  <sheetProtection/>
  <mergeCells count="18">
    <mergeCell ref="X1:Z1"/>
    <mergeCell ref="U1:W1"/>
    <mergeCell ref="AS1:AU1"/>
    <mergeCell ref="AV1:AX1"/>
    <mergeCell ref="AY1:BA1"/>
    <mergeCell ref="C12:E12"/>
    <mergeCell ref="C1:E1"/>
    <mergeCell ref="F1:H1"/>
    <mergeCell ref="I1:K1"/>
    <mergeCell ref="AP1:AR1"/>
    <mergeCell ref="O1:Q1"/>
    <mergeCell ref="AD1:AF1"/>
    <mergeCell ref="AG1:AI1"/>
    <mergeCell ref="AJ1:AL1"/>
    <mergeCell ref="AM1:AO1"/>
    <mergeCell ref="L1:N1"/>
    <mergeCell ref="R1:T1"/>
    <mergeCell ref="AA1:AC1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9"/>
  <sheetViews>
    <sheetView zoomScalePageLayoutView="0" workbookViewId="0" topLeftCell="A34">
      <selection activeCell="AF21" sqref="AF21"/>
    </sheetView>
  </sheetViews>
  <sheetFormatPr defaultColWidth="11.421875" defaultRowHeight="15"/>
  <cols>
    <col min="1" max="1" width="21.8515625" style="3" customWidth="1"/>
    <col min="2" max="2" width="14.8515625" style="0" customWidth="1"/>
    <col min="3" max="3" width="13.7109375" style="0" customWidth="1"/>
    <col min="4" max="4" width="11.7109375" style="0" customWidth="1"/>
    <col min="5" max="5" width="13.140625" style="0" customWidth="1"/>
    <col min="6" max="6" width="11.8515625" style="0" customWidth="1"/>
    <col min="7" max="9" width="11.421875" style="0" customWidth="1"/>
    <col min="10" max="10" width="13.7109375" style="0" customWidth="1"/>
    <col min="11" max="11" width="11.7109375" style="0" customWidth="1"/>
    <col min="12" max="12" width="13.140625" style="0" customWidth="1"/>
    <col min="13" max="13" width="11.8515625" style="0" customWidth="1"/>
    <col min="14" max="16" width="11.421875" style="0" customWidth="1"/>
    <col min="17" max="17" width="13.7109375" style="0" customWidth="1"/>
    <col min="18" max="18" width="11.7109375" style="0" customWidth="1"/>
    <col min="19" max="19" width="13.140625" style="0" customWidth="1"/>
    <col min="20" max="20" width="11.8515625" style="0" customWidth="1"/>
    <col min="21" max="23" width="11.421875" style="0" customWidth="1"/>
    <col min="24" max="24" width="13.7109375" style="0" customWidth="1"/>
    <col min="25" max="25" width="11.7109375" style="0" customWidth="1"/>
    <col min="26" max="26" width="13.140625" style="0" customWidth="1"/>
    <col min="27" max="27" width="11.8515625" style="0" customWidth="1"/>
    <col min="28" max="30" width="11.421875" style="0" customWidth="1"/>
    <col min="31" max="31" width="13.7109375" style="0" customWidth="1"/>
    <col min="32" max="32" width="11.7109375" style="0" customWidth="1"/>
    <col min="33" max="33" width="13.140625" style="0" customWidth="1"/>
    <col min="34" max="34" width="11.8515625" style="0" customWidth="1"/>
    <col min="35" max="37" width="11.421875" style="0" customWidth="1"/>
    <col min="38" max="38" width="13.7109375" style="0" customWidth="1"/>
    <col min="39" max="39" width="11.7109375" style="0" customWidth="1"/>
    <col min="40" max="40" width="13.140625" style="0" customWidth="1"/>
    <col min="41" max="41" width="11.8515625" style="0" customWidth="1"/>
    <col min="42" max="44" width="11.421875" style="0" customWidth="1"/>
    <col min="45" max="45" width="13.7109375" style="0" customWidth="1"/>
    <col min="46" max="46" width="11.7109375" style="0" customWidth="1"/>
    <col min="47" max="47" width="13.140625" style="0" customWidth="1"/>
    <col min="48" max="48" width="11.8515625" style="0" customWidth="1"/>
    <col min="49" max="51" width="11.421875" style="0" customWidth="1"/>
    <col min="52" max="52" width="13.7109375" style="0" customWidth="1"/>
    <col min="53" max="53" width="11.7109375" style="0" customWidth="1"/>
    <col min="54" max="54" width="13.140625" style="0" customWidth="1"/>
    <col min="55" max="55" width="11.8515625" style="0" customWidth="1"/>
    <col min="56" max="58" width="11.421875" style="0" customWidth="1"/>
    <col min="59" max="59" width="13.7109375" style="0" customWidth="1"/>
    <col min="60" max="60" width="11.7109375" style="0" customWidth="1"/>
    <col min="61" max="61" width="13.140625" style="0" customWidth="1"/>
    <col min="62" max="62" width="11.8515625" style="0" customWidth="1"/>
    <col min="63" max="65" width="11.421875" style="0" customWidth="1"/>
    <col min="66" max="66" width="13.7109375" style="0" customWidth="1"/>
    <col min="67" max="67" width="11.7109375" style="0" customWidth="1"/>
    <col min="68" max="68" width="13.140625" style="0" customWidth="1"/>
    <col min="69" max="69" width="11.8515625" style="0" customWidth="1"/>
    <col min="70" max="72" width="11.421875" style="0" customWidth="1"/>
    <col min="73" max="73" width="13.7109375" style="0" customWidth="1"/>
    <col min="74" max="74" width="11.7109375" style="0" customWidth="1"/>
    <col min="75" max="75" width="13.140625" style="0" customWidth="1"/>
    <col min="76" max="76" width="11.8515625" style="0" customWidth="1"/>
    <col min="77" max="79" width="11.421875" style="0" customWidth="1"/>
    <col min="80" max="80" width="13.7109375" style="0" customWidth="1"/>
    <col min="81" max="81" width="11.7109375" style="0" customWidth="1"/>
    <col min="82" max="82" width="13.140625" style="0" customWidth="1"/>
    <col min="83" max="83" width="11.8515625" style="0" customWidth="1"/>
    <col min="84" max="86" width="11.421875" style="0" customWidth="1"/>
    <col min="87" max="87" width="13.7109375" style="0" customWidth="1"/>
    <col min="88" max="88" width="11.7109375" style="0" customWidth="1"/>
    <col min="89" max="89" width="13.140625" style="0" customWidth="1"/>
    <col min="90" max="90" width="11.8515625" style="0" customWidth="1"/>
    <col min="91" max="93" width="11.421875" style="0" customWidth="1"/>
    <col min="94" max="94" width="13.7109375" style="0" customWidth="1"/>
    <col min="95" max="95" width="11.7109375" style="0" customWidth="1"/>
    <col min="96" max="96" width="13.140625" style="0" customWidth="1"/>
    <col min="97" max="97" width="11.8515625" style="0" customWidth="1"/>
    <col min="98" max="100" width="11.421875" style="0" customWidth="1"/>
    <col min="101" max="101" width="13.7109375" style="0" customWidth="1"/>
    <col min="102" max="102" width="11.7109375" style="0" customWidth="1"/>
    <col min="103" max="103" width="13.140625" style="0" customWidth="1"/>
    <col min="104" max="104" width="11.8515625" style="0" customWidth="1"/>
    <col min="105" max="107" width="11.421875" style="0" customWidth="1"/>
    <col min="108" max="108" width="13.7109375" style="0" customWidth="1"/>
    <col min="109" max="109" width="11.7109375" style="0" customWidth="1"/>
    <col min="110" max="110" width="13.140625" style="0" customWidth="1"/>
    <col min="111" max="111" width="11.8515625" style="0" customWidth="1"/>
    <col min="112" max="114" width="11.421875" style="0" customWidth="1"/>
    <col min="115" max="115" width="13.7109375" style="0" customWidth="1"/>
    <col min="116" max="116" width="11.7109375" style="0" customWidth="1"/>
    <col min="117" max="117" width="13.140625" style="0" customWidth="1"/>
    <col min="118" max="118" width="11.8515625" style="0" customWidth="1"/>
    <col min="119" max="121" width="11.421875" style="0" customWidth="1"/>
  </cols>
  <sheetData>
    <row r="1" spans="3:121" ht="15">
      <c r="C1" s="323" t="s">
        <v>74</v>
      </c>
      <c r="D1" s="324"/>
      <c r="E1" s="324"/>
      <c r="F1" s="324"/>
      <c r="G1" s="324"/>
      <c r="H1" s="324"/>
      <c r="I1" s="325"/>
      <c r="J1" s="375" t="s">
        <v>77</v>
      </c>
      <c r="K1" s="376"/>
      <c r="L1" s="376"/>
      <c r="M1" s="376"/>
      <c r="N1" s="376"/>
      <c r="O1" s="376"/>
      <c r="P1" s="377"/>
      <c r="Q1" s="327" t="s">
        <v>78</v>
      </c>
      <c r="R1" s="328"/>
      <c r="S1" s="328"/>
      <c r="T1" s="328"/>
      <c r="U1" s="328"/>
      <c r="V1" s="328"/>
      <c r="W1" s="329"/>
      <c r="X1" s="346" t="s">
        <v>86</v>
      </c>
      <c r="Y1" s="347"/>
      <c r="Z1" s="347"/>
      <c r="AA1" s="347"/>
      <c r="AB1" s="347"/>
      <c r="AC1" s="347"/>
      <c r="AD1" s="348"/>
      <c r="AE1" s="333" t="s">
        <v>87</v>
      </c>
      <c r="AF1" s="334"/>
      <c r="AG1" s="334"/>
      <c r="AH1" s="334"/>
      <c r="AI1" s="334"/>
      <c r="AJ1" s="334"/>
      <c r="AK1" s="335"/>
      <c r="AL1" s="349" t="s">
        <v>79</v>
      </c>
      <c r="AM1" s="350"/>
      <c r="AN1" s="350"/>
      <c r="AO1" s="350"/>
      <c r="AP1" s="350"/>
      <c r="AQ1" s="350"/>
      <c r="AR1" s="351"/>
      <c r="AS1" s="356" t="s">
        <v>90</v>
      </c>
      <c r="AT1" s="357"/>
      <c r="AU1" s="357"/>
      <c r="AV1" s="357"/>
      <c r="AW1" s="357"/>
      <c r="AX1" s="357"/>
      <c r="AY1" s="358"/>
      <c r="AZ1" s="353" t="s">
        <v>89</v>
      </c>
      <c r="BA1" s="354"/>
      <c r="BB1" s="354"/>
      <c r="BC1" s="354"/>
      <c r="BD1" s="354"/>
      <c r="BE1" s="354"/>
      <c r="BF1" s="355"/>
      <c r="BG1" s="372" t="s">
        <v>84</v>
      </c>
      <c r="BH1" s="373"/>
      <c r="BI1" s="373"/>
      <c r="BJ1" s="373"/>
      <c r="BK1" s="373"/>
      <c r="BL1" s="373"/>
      <c r="BM1" s="374"/>
      <c r="BN1" s="336" t="s">
        <v>88</v>
      </c>
      <c r="BO1" s="337"/>
      <c r="BP1" s="337"/>
      <c r="BQ1" s="337"/>
      <c r="BR1" s="337"/>
      <c r="BS1" s="337"/>
      <c r="BT1" s="338"/>
      <c r="BU1" s="339" t="s">
        <v>80</v>
      </c>
      <c r="BV1" s="340"/>
      <c r="BW1" s="340"/>
      <c r="BX1" s="340"/>
      <c r="BY1" s="340"/>
      <c r="BZ1" s="340"/>
      <c r="CA1" s="341"/>
      <c r="CB1" s="342" t="s">
        <v>81</v>
      </c>
      <c r="CC1" s="343"/>
      <c r="CD1" s="343"/>
      <c r="CE1" s="343"/>
      <c r="CF1" s="343"/>
      <c r="CG1" s="343"/>
      <c r="CH1" s="344"/>
      <c r="CI1" s="380" t="s">
        <v>82</v>
      </c>
      <c r="CJ1" s="381"/>
      <c r="CK1" s="381"/>
      <c r="CL1" s="381"/>
      <c r="CM1" s="381"/>
      <c r="CN1" s="381"/>
      <c r="CO1" s="382"/>
      <c r="CP1" s="330" t="s">
        <v>83</v>
      </c>
      <c r="CQ1" s="331"/>
      <c r="CR1" s="331"/>
      <c r="CS1" s="331"/>
      <c r="CT1" s="331"/>
      <c r="CU1" s="331"/>
      <c r="CV1" s="332"/>
      <c r="CW1" s="311" t="s">
        <v>91</v>
      </c>
      <c r="CX1" s="312"/>
      <c r="CY1" s="312"/>
      <c r="CZ1" s="312"/>
      <c r="DA1" s="312"/>
      <c r="DB1" s="312"/>
      <c r="DC1" s="313"/>
      <c r="DD1" s="314" t="s">
        <v>92</v>
      </c>
      <c r="DE1" s="315"/>
      <c r="DF1" s="315"/>
      <c r="DG1" s="315"/>
      <c r="DH1" s="315"/>
      <c r="DI1" s="315"/>
      <c r="DJ1" s="316"/>
      <c r="DK1" s="317" t="s">
        <v>93</v>
      </c>
      <c r="DL1" s="318"/>
      <c r="DM1" s="318"/>
      <c r="DN1" s="318"/>
      <c r="DO1" s="318"/>
      <c r="DP1" s="318"/>
      <c r="DQ1" s="319"/>
    </row>
    <row r="2" spans="3:121" ht="15">
      <c r="C2" s="44" t="s">
        <v>31</v>
      </c>
      <c r="D2" s="45" t="s">
        <v>30</v>
      </c>
      <c r="E2" s="45" t="s">
        <v>29</v>
      </c>
      <c r="F2" s="45" t="s">
        <v>28</v>
      </c>
      <c r="G2" s="46" t="s">
        <v>34</v>
      </c>
      <c r="H2" s="46" t="s">
        <v>32</v>
      </c>
      <c r="I2" s="47" t="s">
        <v>33</v>
      </c>
      <c r="J2" s="41" t="s">
        <v>31</v>
      </c>
      <c r="K2" s="70" t="s">
        <v>30</v>
      </c>
      <c r="L2" s="70" t="s">
        <v>29</v>
      </c>
      <c r="M2" s="70" t="s">
        <v>28</v>
      </c>
      <c r="N2" s="71" t="s">
        <v>34</v>
      </c>
      <c r="O2" s="71" t="s">
        <v>32</v>
      </c>
      <c r="P2" s="72" t="s">
        <v>33</v>
      </c>
      <c r="Q2" s="36" t="s">
        <v>31</v>
      </c>
      <c r="R2" s="73" t="s">
        <v>30</v>
      </c>
      <c r="S2" s="73" t="s">
        <v>29</v>
      </c>
      <c r="T2" s="73" t="s">
        <v>28</v>
      </c>
      <c r="U2" s="74" t="s">
        <v>34</v>
      </c>
      <c r="V2" s="74" t="s">
        <v>32</v>
      </c>
      <c r="W2" s="75" t="s">
        <v>33</v>
      </c>
      <c r="X2" s="121" t="s">
        <v>31</v>
      </c>
      <c r="Y2" s="122" t="s">
        <v>30</v>
      </c>
      <c r="Z2" s="122" t="s">
        <v>29</v>
      </c>
      <c r="AA2" s="122" t="s">
        <v>28</v>
      </c>
      <c r="AB2" s="123" t="s">
        <v>34</v>
      </c>
      <c r="AC2" s="123" t="s">
        <v>32</v>
      </c>
      <c r="AD2" s="124" t="s">
        <v>33</v>
      </c>
      <c r="AE2" s="125" t="s">
        <v>31</v>
      </c>
      <c r="AF2" s="126" t="s">
        <v>30</v>
      </c>
      <c r="AG2" s="126" t="s">
        <v>29</v>
      </c>
      <c r="AH2" s="126" t="s">
        <v>28</v>
      </c>
      <c r="AI2" s="127" t="s">
        <v>34</v>
      </c>
      <c r="AJ2" s="127" t="s">
        <v>32</v>
      </c>
      <c r="AK2" s="128" t="s">
        <v>33</v>
      </c>
      <c r="AL2" s="76" t="s">
        <v>31</v>
      </c>
      <c r="AM2" s="77" t="s">
        <v>30</v>
      </c>
      <c r="AN2" s="77" t="s">
        <v>29</v>
      </c>
      <c r="AO2" s="77" t="s">
        <v>28</v>
      </c>
      <c r="AP2" s="78" t="s">
        <v>34</v>
      </c>
      <c r="AQ2" s="78" t="s">
        <v>32</v>
      </c>
      <c r="AR2" s="79" t="s">
        <v>33</v>
      </c>
      <c r="AS2" s="143" t="s">
        <v>31</v>
      </c>
      <c r="AT2" s="144" t="s">
        <v>30</v>
      </c>
      <c r="AU2" s="144" t="s">
        <v>29</v>
      </c>
      <c r="AV2" s="144" t="s">
        <v>28</v>
      </c>
      <c r="AW2" s="145" t="s">
        <v>34</v>
      </c>
      <c r="AX2" s="145" t="s">
        <v>32</v>
      </c>
      <c r="AY2" s="146" t="s">
        <v>33</v>
      </c>
      <c r="AZ2" s="147" t="s">
        <v>31</v>
      </c>
      <c r="BA2" s="148" t="s">
        <v>30</v>
      </c>
      <c r="BB2" s="148" t="s">
        <v>29</v>
      </c>
      <c r="BC2" s="148" t="s">
        <v>28</v>
      </c>
      <c r="BD2" s="149" t="s">
        <v>34</v>
      </c>
      <c r="BE2" s="149" t="s">
        <v>32</v>
      </c>
      <c r="BF2" s="150" t="s">
        <v>33</v>
      </c>
      <c r="BG2" s="80" t="s">
        <v>31</v>
      </c>
      <c r="BH2" s="81" t="s">
        <v>30</v>
      </c>
      <c r="BI2" s="81" t="s">
        <v>29</v>
      </c>
      <c r="BJ2" s="81" t="s">
        <v>28</v>
      </c>
      <c r="BK2" s="82" t="s">
        <v>34</v>
      </c>
      <c r="BL2" s="82" t="s">
        <v>32</v>
      </c>
      <c r="BM2" s="83" t="s">
        <v>33</v>
      </c>
      <c r="BN2" s="151" t="s">
        <v>31</v>
      </c>
      <c r="BO2" s="152" t="s">
        <v>30</v>
      </c>
      <c r="BP2" s="152" t="s">
        <v>29</v>
      </c>
      <c r="BQ2" s="152" t="s">
        <v>28</v>
      </c>
      <c r="BR2" s="153" t="s">
        <v>34</v>
      </c>
      <c r="BS2" s="153" t="s">
        <v>32</v>
      </c>
      <c r="BT2" s="154" t="s">
        <v>33</v>
      </c>
      <c r="BU2" s="84" t="s">
        <v>31</v>
      </c>
      <c r="BV2" s="85" t="s">
        <v>30</v>
      </c>
      <c r="BW2" s="85" t="s">
        <v>29</v>
      </c>
      <c r="BX2" s="85" t="s">
        <v>28</v>
      </c>
      <c r="BY2" s="86" t="s">
        <v>34</v>
      </c>
      <c r="BZ2" s="86" t="s">
        <v>32</v>
      </c>
      <c r="CA2" s="87" t="s">
        <v>33</v>
      </c>
      <c r="CB2" s="88" t="s">
        <v>31</v>
      </c>
      <c r="CC2" s="89" t="s">
        <v>30</v>
      </c>
      <c r="CD2" s="89" t="s">
        <v>29</v>
      </c>
      <c r="CE2" s="89" t="s">
        <v>28</v>
      </c>
      <c r="CF2" s="90" t="s">
        <v>34</v>
      </c>
      <c r="CG2" s="90" t="s">
        <v>32</v>
      </c>
      <c r="CH2" s="91" t="s">
        <v>33</v>
      </c>
      <c r="CI2" s="92" t="s">
        <v>31</v>
      </c>
      <c r="CJ2" s="93" t="s">
        <v>30</v>
      </c>
      <c r="CK2" s="93" t="s">
        <v>29</v>
      </c>
      <c r="CL2" s="93" t="s">
        <v>28</v>
      </c>
      <c r="CM2" s="94" t="s">
        <v>34</v>
      </c>
      <c r="CN2" s="94" t="s">
        <v>32</v>
      </c>
      <c r="CO2" s="95" t="s">
        <v>33</v>
      </c>
      <c r="CP2" s="96" t="s">
        <v>31</v>
      </c>
      <c r="CQ2" s="97" t="s">
        <v>30</v>
      </c>
      <c r="CR2" s="97" t="s">
        <v>29</v>
      </c>
      <c r="CS2" s="97" t="s">
        <v>28</v>
      </c>
      <c r="CT2" s="98" t="s">
        <v>34</v>
      </c>
      <c r="CU2" s="98" t="s">
        <v>32</v>
      </c>
      <c r="CV2" s="99" t="s">
        <v>33</v>
      </c>
      <c r="CW2" s="164" t="s">
        <v>31</v>
      </c>
      <c r="CX2" s="165" t="s">
        <v>30</v>
      </c>
      <c r="CY2" s="165" t="s">
        <v>29</v>
      </c>
      <c r="CZ2" s="165" t="s">
        <v>28</v>
      </c>
      <c r="DA2" s="166" t="s">
        <v>34</v>
      </c>
      <c r="DB2" s="166" t="s">
        <v>32</v>
      </c>
      <c r="DC2" s="167" t="s">
        <v>33</v>
      </c>
      <c r="DD2" s="168" t="s">
        <v>31</v>
      </c>
      <c r="DE2" s="169" t="s">
        <v>30</v>
      </c>
      <c r="DF2" s="169" t="s">
        <v>29</v>
      </c>
      <c r="DG2" s="169" t="s">
        <v>28</v>
      </c>
      <c r="DH2" s="170" t="s">
        <v>34</v>
      </c>
      <c r="DI2" s="170" t="s">
        <v>32</v>
      </c>
      <c r="DJ2" s="171" t="s">
        <v>33</v>
      </c>
      <c r="DK2" s="172" t="s">
        <v>31</v>
      </c>
      <c r="DL2" s="173" t="s">
        <v>30</v>
      </c>
      <c r="DM2" s="173" t="s">
        <v>29</v>
      </c>
      <c r="DN2" s="173" t="s">
        <v>28</v>
      </c>
      <c r="DO2" s="174" t="s">
        <v>34</v>
      </c>
      <c r="DP2" s="174" t="s">
        <v>32</v>
      </c>
      <c r="DQ2" s="175" t="s">
        <v>33</v>
      </c>
    </row>
    <row r="3" spans="1:121" ht="15">
      <c r="A3" s="3" t="s">
        <v>18</v>
      </c>
      <c r="B3" t="s">
        <v>19</v>
      </c>
      <c r="C3" s="221">
        <f>C4+C5</f>
        <v>321</v>
      </c>
      <c r="D3" s="218">
        <f>D4+D5</f>
        <v>54</v>
      </c>
      <c r="E3" s="218">
        <f>E4+E5</f>
        <v>47</v>
      </c>
      <c r="F3" s="218">
        <f>F4+F5</f>
        <v>7</v>
      </c>
      <c r="G3" s="17">
        <f>D3/C3</f>
        <v>0.16822429906542055</v>
      </c>
      <c r="H3" s="17">
        <f>E3/308</f>
        <v>0.1525974025974026</v>
      </c>
      <c r="I3" s="17">
        <f>F3/13</f>
        <v>0.5384615384615384</v>
      </c>
      <c r="J3" s="186"/>
      <c r="K3" s="17"/>
      <c r="L3" s="17"/>
      <c r="M3" s="17"/>
      <c r="N3" s="17"/>
      <c r="O3" s="17"/>
      <c r="P3" s="17"/>
      <c r="Q3" s="20">
        <f>Q4+Q5</f>
        <v>350</v>
      </c>
      <c r="R3" s="32">
        <f>R4+R5</f>
        <v>16</v>
      </c>
      <c r="S3" s="32">
        <f>S4+S5</f>
        <v>14</v>
      </c>
      <c r="T3" s="32">
        <f>T4</f>
        <v>2</v>
      </c>
      <c r="U3" s="17">
        <f>R3/Q3</f>
        <v>0.045714285714285714</v>
      </c>
      <c r="V3" s="17">
        <f>S3/347</f>
        <v>0.040345821325648415</v>
      </c>
      <c r="W3" s="19">
        <f>2/3</f>
        <v>0.6666666666666666</v>
      </c>
      <c r="X3" s="20">
        <f>X4+X5</f>
        <v>1430</v>
      </c>
      <c r="Y3" s="108">
        <f>Y4+Y5</f>
        <v>68</v>
      </c>
      <c r="Z3" s="108">
        <f>Z4+Z5</f>
        <v>48</v>
      </c>
      <c r="AA3" s="108">
        <f>AA4+AA5</f>
        <v>20</v>
      </c>
      <c r="AB3" s="17">
        <f>Y3/X3</f>
        <v>0.04755244755244755</v>
      </c>
      <c r="AC3" s="17">
        <f>Z3/1347</f>
        <v>0.035634743875278395</v>
      </c>
      <c r="AD3" s="19">
        <f>AA3/83</f>
        <v>0.24096385542168675</v>
      </c>
      <c r="AE3" s="20">
        <f>AE4+AE5</f>
        <v>361</v>
      </c>
      <c r="AF3" s="108">
        <f>AF4+AF5</f>
        <v>34</v>
      </c>
      <c r="AG3" s="108">
        <f>AG4+AG5</f>
        <v>34</v>
      </c>
      <c r="AH3" s="188" t="s">
        <v>61</v>
      </c>
      <c r="AI3" s="17">
        <f>AF3/AE3</f>
        <v>0.09418282548476455</v>
      </c>
      <c r="AJ3" s="17">
        <f>AG3/360</f>
        <v>0.09444444444444444</v>
      </c>
      <c r="AK3" s="188" t="s">
        <v>61</v>
      </c>
      <c r="AL3" s="20">
        <f>AL4+AL5</f>
        <v>738</v>
      </c>
      <c r="AM3" s="21">
        <f>AM4+AM5</f>
        <v>22</v>
      </c>
      <c r="AN3" s="21">
        <f>AN4+AN5</f>
        <v>22</v>
      </c>
      <c r="AO3" s="188" t="s">
        <v>61</v>
      </c>
      <c r="AP3" s="17">
        <f>AM3/AL3</f>
        <v>0.02981029810298103</v>
      </c>
      <c r="AQ3" s="17">
        <f>AN3/AL3</f>
        <v>0.02981029810298103</v>
      </c>
      <c r="AR3" s="188" t="s">
        <v>61</v>
      </c>
      <c r="AS3" s="107"/>
      <c r="AT3" s="108">
        <f>AT4+AT5</f>
        <v>15</v>
      </c>
      <c r="AU3" s="108">
        <f>AU4+AU5</f>
        <v>15</v>
      </c>
      <c r="AV3" s="108">
        <f>AV4</f>
        <v>0</v>
      </c>
      <c r="AW3" s="17"/>
      <c r="AX3" s="17"/>
      <c r="AY3" s="19"/>
      <c r="AZ3" s="20">
        <f>AZ4+AZ5</f>
        <v>896</v>
      </c>
      <c r="BA3" s="108">
        <f>BA4+BA5</f>
        <v>62</v>
      </c>
      <c r="BB3" s="108">
        <f>BB4+BB5</f>
        <v>52</v>
      </c>
      <c r="BC3" s="108">
        <f>BC4+BC5</f>
        <v>10</v>
      </c>
      <c r="BD3" s="17">
        <f>BA3/AZ3</f>
        <v>0.06919642857142858</v>
      </c>
      <c r="BE3" s="17">
        <f>BB3/887</f>
        <v>0.058624577226606536</v>
      </c>
      <c r="BF3" s="19">
        <f>BC3/9</f>
        <v>1.1111111111111112</v>
      </c>
      <c r="BG3" s="107"/>
      <c r="BH3" s="108">
        <f>BH4+BH5</f>
        <v>57</v>
      </c>
      <c r="BI3" s="108">
        <f>BI4+BI5</f>
        <v>51</v>
      </c>
      <c r="BJ3" s="108">
        <f>BJ4+BJ5</f>
        <v>6</v>
      </c>
      <c r="BK3" s="17"/>
      <c r="BL3" s="17"/>
      <c r="BM3" s="19"/>
      <c r="BN3" s="267">
        <f>BN4+BN5</f>
        <v>549</v>
      </c>
      <c r="BO3" s="32">
        <f>BO4+BO5</f>
        <v>44</v>
      </c>
      <c r="BP3" s="32">
        <f>BP4+BP5</f>
        <v>44</v>
      </c>
      <c r="BQ3" s="32">
        <f>BQ4</f>
        <v>0</v>
      </c>
      <c r="BR3" s="17">
        <f>BO3/BN3</f>
        <v>0.08014571948998178</v>
      </c>
      <c r="BS3" s="17">
        <f>BP3/547</f>
        <v>0.08043875685557587</v>
      </c>
      <c r="BT3" s="19">
        <f>BQ3/2</f>
        <v>0</v>
      </c>
      <c r="BU3" s="20">
        <f>BU4+BU5</f>
        <v>1120</v>
      </c>
      <c r="BV3" s="32">
        <f>BV4+BV5</f>
        <v>57</v>
      </c>
      <c r="BW3" s="32">
        <f>BW4+BW5</f>
        <v>30</v>
      </c>
      <c r="BX3" s="32">
        <f>BX4+BX5</f>
        <v>27</v>
      </c>
      <c r="BY3" s="17">
        <f>BV3/BU3</f>
        <v>0.05089285714285714</v>
      </c>
      <c r="BZ3" s="17">
        <f>BW3/1071</f>
        <v>0.028011204481792718</v>
      </c>
      <c r="CA3" s="19">
        <f>BX3/49</f>
        <v>0.5510204081632653</v>
      </c>
      <c r="CB3" s="20">
        <f>CB4+CB5</f>
        <v>391</v>
      </c>
      <c r="CC3" s="32">
        <f>CC4+CC5</f>
        <v>17</v>
      </c>
      <c r="CD3" s="21">
        <f>CD4+CD5</f>
        <v>17</v>
      </c>
      <c r="CE3" s="32">
        <v>0</v>
      </c>
      <c r="CF3" s="17">
        <f>CC3/CB3</f>
        <v>0.043478260869565216</v>
      </c>
      <c r="CG3" s="17">
        <f>CD3/382</f>
        <v>0.04450261780104712</v>
      </c>
      <c r="CH3" s="19">
        <f>0/9</f>
        <v>0</v>
      </c>
      <c r="CI3" s="275">
        <f>CI4+CI5</f>
        <v>361</v>
      </c>
      <c r="CJ3" s="32">
        <f>CJ4+CJ5</f>
        <v>64</v>
      </c>
      <c r="CK3" s="32">
        <f>CK4+CK5</f>
        <v>64</v>
      </c>
      <c r="CL3" s="32">
        <f>CL4</f>
        <v>0</v>
      </c>
      <c r="CM3" s="17">
        <f>CJ3/CI3</f>
        <v>0.1772853185595568</v>
      </c>
      <c r="CN3" s="17">
        <f>CK3/356</f>
        <v>0.1797752808988764</v>
      </c>
      <c r="CO3" s="19">
        <f>CL3/5</f>
        <v>0</v>
      </c>
      <c r="CP3" s="20">
        <f>CP4+CP5</f>
        <v>420</v>
      </c>
      <c r="CQ3" s="32">
        <f>CQ4+CQ5</f>
        <v>31</v>
      </c>
      <c r="CR3" s="32">
        <f>CR4+CR5</f>
        <v>27</v>
      </c>
      <c r="CS3" s="32">
        <f>CS4+CS5</f>
        <v>4</v>
      </c>
      <c r="CT3" s="17">
        <f>CQ3/CP3</f>
        <v>0.07380952380952381</v>
      </c>
      <c r="CU3" s="17">
        <f>CR3/415</f>
        <v>0.06506024096385542</v>
      </c>
      <c r="CV3" s="19">
        <f>CS3/5</f>
        <v>0.8</v>
      </c>
      <c r="CW3" s="20">
        <f>CW4+CW5</f>
        <v>674</v>
      </c>
      <c r="CX3" s="108">
        <f>CX4+CX5</f>
        <v>50</v>
      </c>
      <c r="CY3" s="108">
        <f>CY4+CY5</f>
        <v>49</v>
      </c>
      <c r="CZ3" s="108">
        <f>CZ4+CZ5</f>
        <v>1</v>
      </c>
      <c r="DA3" s="17">
        <f>CX3/CW3</f>
        <v>0.07418397626112759</v>
      </c>
      <c r="DB3" s="17">
        <f>CY3/668</f>
        <v>0.07335329341317365</v>
      </c>
      <c r="DC3" s="19">
        <f>CZ3/6</f>
        <v>0.16666666666666666</v>
      </c>
      <c r="DD3" s="20">
        <f>DD4+DD5</f>
        <v>261</v>
      </c>
      <c r="DE3" s="108">
        <f>DE4+DE5</f>
        <v>29</v>
      </c>
      <c r="DF3" s="108">
        <f>DF4+DF5</f>
        <v>29</v>
      </c>
      <c r="DG3" s="108">
        <f>DG4</f>
        <v>0</v>
      </c>
      <c r="DH3" s="17">
        <f>DE3/DD3</f>
        <v>0.1111111111111111</v>
      </c>
      <c r="DI3" s="17">
        <f>DF3/260</f>
        <v>0.11153846153846154</v>
      </c>
      <c r="DJ3" s="19">
        <f>0/1</f>
        <v>0</v>
      </c>
      <c r="DK3" s="297">
        <f>DK4+DK5</f>
        <v>226</v>
      </c>
      <c r="DL3" s="108">
        <f>DL4+DL5</f>
        <v>102</v>
      </c>
      <c r="DM3" s="108">
        <f>DM5</f>
        <v>98</v>
      </c>
      <c r="DN3" s="108">
        <f>DN4+DN5</f>
        <v>4</v>
      </c>
      <c r="DO3" s="17">
        <f>DL3/DK3</f>
        <v>0.45132743362831856</v>
      </c>
      <c r="DP3" s="17">
        <f>DM3/224</f>
        <v>0.4375</v>
      </c>
      <c r="DQ3" s="19">
        <f>DN3/2</f>
        <v>2</v>
      </c>
    </row>
    <row r="4" spans="2:121" ht="15">
      <c r="B4" t="s">
        <v>20</v>
      </c>
      <c r="C4" s="190">
        <f>112+7</f>
        <v>119</v>
      </c>
      <c r="D4" s="206">
        <f>E4+F4</f>
        <v>4</v>
      </c>
      <c r="E4" s="185">
        <v>4</v>
      </c>
      <c r="F4" s="21">
        <v>0</v>
      </c>
      <c r="G4" s="18">
        <f>D4/C4</f>
        <v>0.03361344537815126</v>
      </c>
      <c r="H4" s="17">
        <f>4/112</f>
        <v>0.03571428571428571</v>
      </c>
      <c r="I4" s="17">
        <f>0/7</f>
        <v>0</v>
      </c>
      <c r="J4" s="190"/>
      <c r="K4" s="191"/>
      <c r="L4" s="185">
        <v>2</v>
      </c>
      <c r="M4" s="17"/>
      <c r="N4" s="17"/>
      <c r="O4" s="17">
        <f>2/110</f>
        <v>0.01818181818181818</v>
      </c>
      <c r="P4" s="17"/>
      <c r="Q4" s="20">
        <f>75+3</f>
        <v>78</v>
      </c>
      <c r="R4" s="32">
        <v>3</v>
      </c>
      <c r="S4" s="32">
        <v>1</v>
      </c>
      <c r="T4" s="32">
        <v>2</v>
      </c>
      <c r="U4" s="17">
        <f>R4/78</f>
        <v>0.038461538461538464</v>
      </c>
      <c r="V4" s="17">
        <f>1/75</f>
        <v>0.013333333333333334</v>
      </c>
      <c r="W4" s="19">
        <f>2/3</f>
        <v>0.6666666666666666</v>
      </c>
      <c r="X4" s="20">
        <f>721+75</f>
        <v>796</v>
      </c>
      <c r="Y4" s="108">
        <f>Z4+AA4</f>
        <v>28</v>
      </c>
      <c r="Z4" s="108">
        <v>10</v>
      </c>
      <c r="AA4" s="108">
        <v>18</v>
      </c>
      <c r="AB4" s="17">
        <f>Y4/X4</f>
        <v>0.035175879396984924</v>
      </c>
      <c r="AC4" s="17">
        <f>10/721</f>
        <v>0.013869625520110958</v>
      </c>
      <c r="AD4" s="19">
        <f>AA4/75</f>
        <v>0.24</v>
      </c>
      <c r="AE4" s="20">
        <f>40+1</f>
        <v>41</v>
      </c>
      <c r="AF4" s="108">
        <v>0</v>
      </c>
      <c r="AG4" s="108">
        <v>0</v>
      </c>
      <c r="AH4" s="108">
        <v>0</v>
      </c>
      <c r="AI4" s="17">
        <f>0/41</f>
        <v>0</v>
      </c>
      <c r="AJ4" s="17">
        <f>0/40</f>
        <v>0</v>
      </c>
      <c r="AK4" s="19">
        <f>0/1</f>
        <v>0</v>
      </c>
      <c r="AL4" s="20">
        <v>220</v>
      </c>
      <c r="AM4" s="21">
        <v>4</v>
      </c>
      <c r="AN4" s="21">
        <v>4</v>
      </c>
      <c r="AO4" s="188" t="s">
        <v>61</v>
      </c>
      <c r="AP4" s="17">
        <f>AM4/AL4</f>
        <v>0.01818181818181818</v>
      </c>
      <c r="AQ4" s="17">
        <f>4/220</f>
        <v>0.01818181818181818</v>
      </c>
      <c r="AR4" s="188" t="s">
        <v>61</v>
      </c>
      <c r="AS4" s="20"/>
      <c r="AT4" s="108">
        <f>AU4+AV4</f>
        <v>3</v>
      </c>
      <c r="AU4" s="108">
        <v>3</v>
      </c>
      <c r="AV4" s="108">
        <v>0</v>
      </c>
      <c r="AW4" s="17"/>
      <c r="AX4" s="17"/>
      <c r="AY4" s="19">
        <f>0/2</f>
        <v>0</v>
      </c>
      <c r="AZ4" s="20">
        <f>447+7</f>
        <v>454</v>
      </c>
      <c r="BA4" s="108">
        <f>BB4+BC4</f>
        <v>26</v>
      </c>
      <c r="BB4" s="108">
        <v>17</v>
      </c>
      <c r="BC4" s="108">
        <v>9</v>
      </c>
      <c r="BD4" s="17">
        <f>BA4/AZ4</f>
        <v>0.05726872246696035</v>
      </c>
      <c r="BE4" s="17">
        <f>17/447</f>
        <v>0.03803131991051454</v>
      </c>
      <c r="BF4" s="19">
        <f>9/7</f>
        <v>1.2857142857142858</v>
      </c>
      <c r="BG4" s="20"/>
      <c r="BH4" s="108">
        <f>BI4+BJ4</f>
        <v>7</v>
      </c>
      <c r="BI4" s="108">
        <v>6</v>
      </c>
      <c r="BJ4" s="108">
        <v>1</v>
      </c>
      <c r="BK4" s="17"/>
      <c r="BL4" s="17"/>
      <c r="BM4" s="19">
        <f>1/4</f>
        <v>0.25</v>
      </c>
      <c r="BN4" s="20">
        <f>189+2</f>
        <v>191</v>
      </c>
      <c r="BO4" s="32">
        <f>BP4+BQ4</f>
        <v>10</v>
      </c>
      <c r="BP4" s="32">
        <v>10</v>
      </c>
      <c r="BQ4" s="32">
        <v>0</v>
      </c>
      <c r="BR4" s="17">
        <f>BO4/BN4</f>
        <v>0.05235602094240838</v>
      </c>
      <c r="BS4" s="17">
        <f>10/189</f>
        <v>0.05291005291005291</v>
      </c>
      <c r="BT4" s="19">
        <f>0/2</f>
        <v>0</v>
      </c>
      <c r="BU4" s="20">
        <f>177+16</f>
        <v>193</v>
      </c>
      <c r="BV4" s="32">
        <v>26</v>
      </c>
      <c r="BW4" s="32">
        <v>1</v>
      </c>
      <c r="BX4" s="32">
        <v>25</v>
      </c>
      <c r="BY4" s="17">
        <f>BV4/BU4</f>
        <v>0.13471502590673576</v>
      </c>
      <c r="BZ4" s="17">
        <f>1/177</f>
        <v>0.005649717514124294</v>
      </c>
      <c r="CA4" s="19">
        <f>BX4/16</f>
        <v>1.5625</v>
      </c>
      <c r="CB4" s="20">
        <f>114+9</f>
        <v>123</v>
      </c>
      <c r="CC4" s="32">
        <v>0</v>
      </c>
      <c r="CD4" s="32">
        <v>0</v>
      </c>
      <c r="CE4" s="32">
        <v>0</v>
      </c>
      <c r="CF4" s="17">
        <f>CC4/CB4</f>
        <v>0</v>
      </c>
      <c r="CG4" s="17">
        <f>1/114</f>
        <v>0.008771929824561403</v>
      </c>
      <c r="CH4" s="19">
        <f>0/9</f>
        <v>0</v>
      </c>
      <c r="CI4" s="20">
        <f>70+5</f>
        <v>75</v>
      </c>
      <c r="CJ4" s="32">
        <v>1</v>
      </c>
      <c r="CK4" s="32">
        <v>1</v>
      </c>
      <c r="CL4" s="32">
        <v>0</v>
      </c>
      <c r="CM4" s="17">
        <f>1/75</f>
        <v>0.013333333333333334</v>
      </c>
      <c r="CN4" s="17">
        <f>1/70</f>
        <v>0.014285714285714285</v>
      </c>
      <c r="CO4" s="19">
        <f>0/5</f>
        <v>0</v>
      </c>
      <c r="CP4" s="20">
        <f>97+1</f>
        <v>98</v>
      </c>
      <c r="CQ4" s="32">
        <v>7</v>
      </c>
      <c r="CR4" s="32">
        <v>7</v>
      </c>
      <c r="CS4" s="32">
        <v>0</v>
      </c>
      <c r="CT4" s="17">
        <f>CQ4/CP4</f>
        <v>0.07142857142857142</v>
      </c>
      <c r="CU4" s="17">
        <f>7/97</f>
        <v>0.07216494845360824</v>
      </c>
      <c r="CV4" s="19">
        <f>0/1</f>
        <v>0</v>
      </c>
      <c r="CW4" s="20">
        <f>276+4</f>
        <v>280</v>
      </c>
      <c r="CX4" s="108">
        <f>CY4+CZ4</f>
        <v>6</v>
      </c>
      <c r="CY4" s="108">
        <v>5</v>
      </c>
      <c r="CZ4" s="108">
        <v>1</v>
      </c>
      <c r="DA4" s="17">
        <f>CX4/CW4</f>
        <v>0.02142857142857143</v>
      </c>
      <c r="DB4" s="17">
        <f>CY4/276</f>
        <v>0.018115942028985508</v>
      </c>
      <c r="DC4" s="19">
        <f>1/4</f>
        <v>0.25</v>
      </c>
      <c r="DD4" s="20">
        <f>87+1</f>
        <v>88</v>
      </c>
      <c r="DE4" s="108">
        <v>8</v>
      </c>
      <c r="DF4" s="108">
        <v>8</v>
      </c>
      <c r="DG4" s="108">
        <v>0</v>
      </c>
      <c r="DH4" s="17">
        <f>DE4/DD4</f>
        <v>0.09090909090909091</v>
      </c>
      <c r="DI4" s="17">
        <f>8/87</f>
        <v>0.09195402298850575</v>
      </c>
      <c r="DJ4" s="19">
        <f>0/1</f>
        <v>0</v>
      </c>
      <c r="DK4" s="20">
        <v>1</v>
      </c>
      <c r="DL4" s="108">
        <v>4</v>
      </c>
      <c r="DM4" s="188" t="s">
        <v>61</v>
      </c>
      <c r="DN4" s="108">
        <v>4</v>
      </c>
      <c r="DO4" s="17">
        <f>DL4/DK4</f>
        <v>4</v>
      </c>
      <c r="DP4" s="188" t="s">
        <v>61</v>
      </c>
      <c r="DQ4" s="19">
        <f>DN4/1</f>
        <v>4</v>
      </c>
    </row>
    <row r="5" spans="2:121" ht="15">
      <c r="B5" t="s">
        <v>21</v>
      </c>
      <c r="C5" s="219">
        <f>196+6</f>
        <v>202</v>
      </c>
      <c r="D5" s="220">
        <f>E5+F5</f>
        <v>50</v>
      </c>
      <c r="E5" s="218">
        <v>43</v>
      </c>
      <c r="F5" s="21">
        <v>7</v>
      </c>
      <c r="G5" s="18">
        <f>D5/C5</f>
        <v>0.24752475247524752</v>
      </c>
      <c r="H5" s="17">
        <f>E5/196</f>
        <v>0.2193877551020408</v>
      </c>
      <c r="I5" s="17">
        <f>F5/6</f>
        <v>1.1666666666666667</v>
      </c>
      <c r="J5" s="256">
        <f>376+2</f>
        <v>378</v>
      </c>
      <c r="K5" s="257">
        <f>L5+M5</f>
        <v>17</v>
      </c>
      <c r="L5" s="21">
        <v>15</v>
      </c>
      <c r="M5" s="21">
        <v>2</v>
      </c>
      <c r="N5" s="17">
        <f>K5/J5</f>
        <v>0.04497354497354497</v>
      </c>
      <c r="O5" s="17">
        <f>L5/376</f>
        <v>0.0398936170212766</v>
      </c>
      <c r="P5" s="17">
        <f>M5/2</f>
        <v>1</v>
      </c>
      <c r="Q5" s="31">
        <v>272</v>
      </c>
      <c r="R5" s="32">
        <v>13</v>
      </c>
      <c r="S5" s="32">
        <v>13</v>
      </c>
      <c r="T5" s="188" t="s">
        <v>61</v>
      </c>
      <c r="U5" s="17">
        <f>R5/Q5</f>
        <v>0.04779411764705882</v>
      </c>
      <c r="V5" s="17">
        <f>S5/Q5</f>
        <v>0.04779411764705882</v>
      </c>
      <c r="W5" s="188" t="s">
        <v>61</v>
      </c>
      <c r="X5" s="237">
        <f>626+8</f>
        <v>634</v>
      </c>
      <c r="Y5" s="28">
        <f>Z5+AA5</f>
        <v>40</v>
      </c>
      <c r="Z5" s="28">
        <v>38</v>
      </c>
      <c r="AA5" s="28">
        <v>2</v>
      </c>
      <c r="AB5" s="231">
        <f>Y5/X5</f>
        <v>0.06309148264984227</v>
      </c>
      <c r="AC5" s="231">
        <f>Z5/626</f>
        <v>0.06070287539936102</v>
      </c>
      <c r="AD5" s="231">
        <f>AA5/8</f>
        <v>0.25</v>
      </c>
      <c r="AE5" s="107">
        <v>320</v>
      </c>
      <c r="AF5" s="108">
        <v>34</v>
      </c>
      <c r="AG5" s="108">
        <v>34</v>
      </c>
      <c r="AH5" s="188" t="s">
        <v>61</v>
      </c>
      <c r="AI5" s="17">
        <f>AF5/AE5</f>
        <v>0.10625</v>
      </c>
      <c r="AJ5" s="17">
        <f>AG5/320</f>
        <v>0.10625</v>
      </c>
      <c r="AK5" s="188" t="s">
        <v>61</v>
      </c>
      <c r="AL5" s="20">
        <v>518</v>
      </c>
      <c r="AM5" s="21">
        <v>18</v>
      </c>
      <c r="AN5" s="21">
        <v>18</v>
      </c>
      <c r="AO5" s="192" t="s">
        <v>61</v>
      </c>
      <c r="AP5" s="17">
        <f>AM5/AL5</f>
        <v>0.03474903474903475</v>
      </c>
      <c r="AQ5" s="17">
        <f>AN5/AL5</f>
        <v>0.03474903474903475</v>
      </c>
      <c r="AR5" s="192" t="s">
        <v>61</v>
      </c>
      <c r="AS5" s="107">
        <f>362+2</f>
        <v>364</v>
      </c>
      <c r="AT5" s="108">
        <f>AU5+AV5</f>
        <v>12</v>
      </c>
      <c r="AU5" s="108">
        <v>12</v>
      </c>
      <c r="AV5" s="108">
        <v>0</v>
      </c>
      <c r="AW5" s="17">
        <f>AT5/AS5</f>
        <v>0.03296703296703297</v>
      </c>
      <c r="AX5" s="17">
        <f>AU5/362</f>
        <v>0.03314917127071823</v>
      </c>
      <c r="AY5" s="19">
        <f>0/2</f>
        <v>0</v>
      </c>
      <c r="AZ5" s="107">
        <f>440+2</f>
        <v>442</v>
      </c>
      <c r="BA5" s="108">
        <f>BB5+BC5</f>
        <v>36</v>
      </c>
      <c r="BB5" s="108">
        <v>35</v>
      </c>
      <c r="BC5" s="108">
        <v>1</v>
      </c>
      <c r="BD5" s="17">
        <f>BA5/AZ5</f>
        <v>0.08144796380090498</v>
      </c>
      <c r="BE5" s="17">
        <f>BB5/440</f>
        <v>0.07954545454545454</v>
      </c>
      <c r="BF5" s="19">
        <f>1/2</f>
        <v>0.5</v>
      </c>
      <c r="BG5" s="107">
        <f>410+2</f>
        <v>412</v>
      </c>
      <c r="BH5" s="108">
        <f>BI5+BJ5</f>
        <v>50</v>
      </c>
      <c r="BI5" s="108">
        <v>45</v>
      </c>
      <c r="BJ5" s="108">
        <v>5</v>
      </c>
      <c r="BK5" s="17">
        <f>BH5/BG5</f>
        <v>0.12135922330097088</v>
      </c>
      <c r="BL5" s="17">
        <f>BI5/410</f>
        <v>0.10975609756097561</v>
      </c>
      <c r="BM5" s="19">
        <f>BJ5/2</f>
        <v>2.5</v>
      </c>
      <c r="BN5" s="31">
        <v>358</v>
      </c>
      <c r="BO5" s="32">
        <v>34</v>
      </c>
      <c r="BP5" s="28">
        <v>34</v>
      </c>
      <c r="BQ5" s="188" t="s">
        <v>61</v>
      </c>
      <c r="BR5" s="231">
        <f>BO5/BN5</f>
        <v>0.09497206703910614</v>
      </c>
      <c r="BS5" s="231">
        <f>BP5/358</f>
        <v>0.09497206703910614</v>
      </c>
      <c r="BT5" s="188" t="s">
        <v>61</v>
      </c>
      <c r="BU5" s="31">
        <f>894+33</f>
        <v>927</v>
      </c>
      <c r="BV5" s="32">
        <f>BW5+BX5</f>
        <v>31</v>
      </c>
      <c r="BW5" s="32">
        <v>29</v>
      </c>
      <c r="BX5" s="32">
        <v>2</v>
      </c>
      <c r="BY5" s="17">
        <f>BV5/BU5</f>
        <v>0.03344120819848975</v>
      </c>
      <c r="BZ5" s="17">
        <f>BW5/894</f>
        <v>0.03243847874720358</v>
      </c>
      <c r="CA5" s="19">
        <f>BX5/33</f>
        <v>0.06060606060606061</v>
      </c>
      <c r="CB5" s="31">
        <v>268</v>
      </c>
      <c r="CC5" s="32">
        <v>17</v>
      </c>
      <c r="CD5" s="32">
        <v>17</v>
      </c>
      <c r="CE5" s="188" t="s">
        <v>61</v>
      </c>
      <c r="CF5" s="17">
        <f>CC5/CB5</f>
        <v>0.06343283582089553</v>
      </c>
      <c r="CG5" s="17">
        <f>CD5/CB5</f>
        <v>0.06343283582089553</v>
      </c>
      <c r="CH5" s="188" t="s">
        <v>61</v>
      </c>
      <c r="CI5" s="31">
        <v>286</v>
      </c>
      <c r="CJ5" s="32">
        <v>63</v>
      </c>
      <c r="CK5" s="32">
        <v>63</v>
      </c>
      <c r="CL5" s="188" t="s">
        <v>61</v>
      </c>
      <c r="CM5" s="17">
        <f>CJ5/CI5</f>
        <v>0.2202797202797203</v>
      </c>
      <c r="CN5" s="17">
        <f>CK5/286</f>
        <v>0.2202797202797203</v>
      </c>
      <c r="CO5" s="188" t="s">
        <v>61</v>
      </c>
      <c r="CP5" s="222">
        <f>318+4</f>
        <v>322</v>
      </c>
      <c r="CQ5" s="28">
        <f>CR5+CS5</f>
        <v>24</v>
      </c>
      <c r="CR5" s="28">
        <v>20</v>
      </c>
      <c r="CS5" s="28">
        <v>4</v>
      </c>
      <c r="CT5" s="231">
        <f>CQ5/CP5</f>
        <v>0.07453416149068323</v>
      </c>
      <c r="CU5" s="231">
        <f>CR5/318</f>
        <v>0.06289308176100629</v>
      </c>
      <c r="CV5" s="19">
        <f>CS5/4</f>
        <v>1</v>
      </c>
      <c r="CW5" s="107">
        <f>392+2</f>
        <v>394</v>
      </c>
      <c r="CX5" s="108">
        <f>CY5+CZ5</f>
        <v>44</v>
      </c>
      <c r="CY5" s="108">
        <v>44</v>
      </c>
      <c r="CZ5" s="108">
        <v>0</v>
      </c>
      <c r="DA5" s="17">
        <f>CX5/CW5</f>
        <v>0.1116751269035533</v>
      </c>
      <c r="DB5" s="17">
        <f>44/392</f>
        <v>0.11224489795918367</v>
      </c>
      <c r="DC5" s="19">
        <f>0/2%</f>
        <v>0</v>
      </c>
      <c r="DD5" s="107">
        <v>173</v>
      </c>
      <c r="DE5" s="108">
        <v>21</v>
      </c>
      <c r="DF5" s="108">
        <v>21</v>
      </c>
      <c r="DG5" s="188" t="s">
        <v>61</v>
      </c>
      <c r="DH5" s="17">
        <f>DE5/DD5</f>
        <v>0.12138728323699421</v>
      </c>
      <c r="DI5" s="17">
        <f>DF5/173</f>
        <v>0.12138728323699421</v>
      </c>
      <c r="DJ5" s="188" t="s">
        <v>61</v>
      </c>
      <c r="DK5" s="107">
        <f>224+1</f>
        <v>225</v>
      </c>
      <c r="DL5" s="108">
        <f>DM5+DN5</f>
        <v>98</v>
      </c>
      <c r="DM5" s="108">
        <v>98</v>
      </c>
      <c r="DN5" s="108">
        <v>0</v>
      </c>
      <c r="DO5" s="17">
        <f>DL5/DK5</f>
        <v>0.43555555555555553</v>
      </c>
      <c r="DP5" s="17">
        <f>DM5/224</f>
        <v>0.4375</v>
      </c>
      <c r="DQ5" s="19">
        <f>0/1</f>
        <v>0</v>
      </c>
    </row>
    <row r="6" spans="1:121" ht="15">
      <c r="A6" s="1" t="s">
        <v>8</v>
      </c>
      <c r="B6" t="s">
        <v>35</v>
      </c>
      <c r="C6" s="190">
        <v>4</v>
      </c>
      <c r="D6" s="191">
        <v>4</v>
      </c>
      <c r="E6" s="185">
        <v>4</v>
      </c>
      <c r="F6" s="205">
        <v>0</v>
      </c>
      <c r="G6" s="18">
        <f>D6/C6</f>
        <v>1</v>
      </c>
      <c r="H6" s="17">
        <f>4/4</f>
        <v>1</v>
      </c>
      <c r="I6" s="17">
        <v>0</v>
      </c>
      <c r="J6" s="190"/>
      <c r="K6" s="191"/>
      <c r="L6" s="185">
        <v>2</v>
      </c>
      <c r="M6" s="17"/>
      <c r="N6" s="17"/>
      <c r="O6" s="17">
        <f>L6/L4</f>
        <v>1</v>
      </c>
      <c r="P6" s="17"/>
      <c r="Q6" s="31">
        <f>R4</f>
        <v>3</v>
      </c>
      <c r="R6" s="32">
        <f>S6+T6</f>
        <v>3</v>
      </c>
      <c r="S6" s="32">
        <v>1</v>
      </c>
      <c r="T6" s="32">
        <v>2</v>
      </c>
      <c r="U6" s="17">
        <f>4/4</f>
        <v>1</v>
      </c>
      <c r="V6" s="18">
        <f>1/1</f>
        <v>1</v>
      </c>
      <c r="W6" s="19">
        <f>3/3</f>
        <v>1</v>
      </c>
      <c r="X6" s="107">
        <v>28</v>
      </c>
      <c r="Y6" s="108">
        <f>Z6+AA6</f>
        <v>28</v>
      </c>
      <c r="Z6" s="108">
        <v>10</v>
      </c>
      <c r="AA6" s="108">
        <v>18</v>
      </c>
      <c r="AB6" s="17">
        <f>27/27</f>
        <v>1</v>
      </c>
      <c r="AC6" s="18">
        <f>10/10</f>
        <v>1</v>
      </c>
      <c r="AD6" s="19">
        <f>18/18</f>
        <v>1</v>
      </c>
      <c r="AE6" s="107">
        <v>0</v>
      </c>
      <c r="AF6" s="108">
        <v>0</v>
      </c>
      <c r="AG6" s="108">
        <v>0</v>
      </c>
      <c r="AH6" s="108">
        <v>0</v>
      </c>
      <c r="AI6" s="17">
        <v>0</v>
      </c>
      <c r="AJ6" s="18">
        <v>0</v>
      </c>
      <c r="AK6" s="19">
        <v>0</v>
      </c>
      <c r="AL6" s="184">
        <v>4</v>
      </c>
      <c r="AM6" s="185">
        <v>3</v>
      </c>
      <c r="AN6" s="185">
        <v>3</v>
      </c>
      <c r="AO6" s="188" t="s">
        <v>61</v>
      </c>
      <c r="AP6" s="17">
        <f>AM6/AL6</f>
        <v>0.75</v>
      </c>
      <c r="AQ6" s="17">
        <f>3/4</f>
        <v>0.75</v>
      </c>
      <c r="AR6" s="188" t="s">
        <v>61</v>
      </c>
      <c r="AS6" s="107">
        <v>3</v>
      </c>
      <c r="AT6" s="108">
        <v>3</v>
      </c>
      <c r="AU6" s="108">
        <v>3</v>
      </c>
      <c r="AV6" s="108">
        <v>0</v>
      </c>
      <c r="AW6" s="17">
        <f>3/3</f>
        <v>1</v>
      </c>
      <c r="AX6" s="18">
        <f>3/3</f>
        <v>1</v>
      </c>
      <c r="AY6" s="19">
        <v>0</v>
      </c>
      <c r="AZ6" s="107">
        <f>17+9</f>
        <v>26</v>
      </c>
      <c r="BA6" s="108">
        <f>7+4</f>
        <v>11</v>
      </c>
      <c r="BB6" s="108">
        <v>7</v>
      </c>
      <c r="BC6" s="108">
        <v>4</v>
      </c>
      <c r="BD6" s="17">
        <f>BA6/AZ6</f>
        <v>0.4230769230769231</v>
      </c>
      <c r="BE6" s="18">
        <f>7/17</f>
        <v>0.4117647058823529</v>
      </c>
      <c r="BF6" s="19">
        <f>BC6/BC4</f>
        <v>0.4444444444444444</v>
      </c>
      <c r="BG6" s="107">
        <v>7</v>
      </c>
      <c r="BH6" s="108">
        <v>7</v>
      </c>
      <c r="BI6" s="108">
        <v>6</v>
      </c>
      <c r="BJ6" s="108">
        <v>1</v>
      </c>
      <c r="BK6" s="17">
        <f>7/7</f>
        <v>1</v>
      </c>
      <c r="BL6" s="18">
        <f>6/6</f>
        <v>1</v>
      </c>
      <c r="BM6" s="19">
        <f>1/1</f>
        <v>1</v>
      </c>
      <c r="BN6" s="31">
        <v>10</v>
      </c>
      <c r="BO6" s="32">
        <v>6</v>
      </c>
      <c r="BP6" s="32">
        <v>6</v>
      </c>
      <c r="BQ6" s="32">
        <v>0</v>
      </c>
      <c r="BR6" s="17">
        <f>BO6/BN6</f>
        <v>0.6</v>
      </c>
      <c r="BS6" s="17">
        <f>BP6/BP4</f>
        <v>0.6</v>
      </c>
      <c r="BT6" s="19">
        <v>0</v>
      </c>
      <c r="BU6" s="31">
        <f>1+25</f>
        <v>26</v>
      </c>
      <c r="BV6" s="32">
        <v>26</v>
      </c>
      <c r="BW6" s="32">
        <v>1</v>
      </c>
      <c r="BX6" s="32">
        <v>25</v>
      </c>
      <c r="BY6" s="17">
        <f>26/26</f>
        <v>1</v>
      </c>
      <c r="BZ6" s="18">
        <f>1/1</f>
        <v>1</v>
      </c>
      <c r="CA6" s="19">
        <f>25/25</f>
        <v>1</v>
      </c>
      <c r="CB6" s="31">
        <v>0</v>
      </c>
      <c r="CC6" s="32">
        <v>0</v>
      </c>
      <c r="CD6" s="32">
        <v>0</v>
      </c>
      <c r="CE6" s="32">
        <v>0</v>
      </c>
      <c r="CF6" s="17">
        <v>0</v>
      </c>
      <c r="CG6" s="18">
        <v>0</v>
      </c>
      <c r="CH6" s="19">
        <v>0</v>
      </c>
      <c r="CI6" s="31">
        <v>1</v>
      </c>
      <c r="CJ6" s="32">
        <v>1</v>
      </c>
      <c r="CK6" s="32">
        <v>1</v>
      </c>
      <c r="CL6" s="32">
        <v>0</v>
      </c>
      <c r="CM6" s="17">
        <f>1/1</f>
        <v>1</v>
      </c>
      <c r="CN6" s="18">
        <f>CK6/CK4</f>
        <v>1</v>
      </c>
      <c r="CO6" s="19">
        <v>0</v>
      </c>
      <c r="CP6" s="31">
        <v>7</v>
      </c>
      <c r="CQ6" s="32">
        <v>5</v>
      </c>
      <c r="CR6" s="32">
        <v>5</v>
      </c>
      <c r="CS6" s="32">
        <v>0</v>
      </c>
      <c r="CT6" s="17">
        <f>5/7</f>
        <v>0.7142857142857143</v>
      </c>
      <c r="CU6" s="17">
        <f>5/7</f>
        <v>0.7142857142857143</v>
      </c>
      <c r="CV6" s="19">
        <v>0</v>
      </c>
      <c r="CW6" s="107">
        <f>CX4</f>
        <v>6</v>
      </c>
      <c r="CX6" s="108">
        <f>CY6+CZ6</f>
        <v>5</v>
      </c>
      <c r="CY6" s="108">
        <v>4</v>
      </c>
      <c r="CZ6" s="108">
        <v>1</v>
      </c>
      <c r="DA6" s="17">
        <f>CX6/CW6</f>
        <v>0.8333333333333334</v>
      </c>
      <c r="DB6" s="18">
        <f>CY6/CY4</f>
        <v>0.8</v>
      </c>
      <c r="DC6" s="19">
        <f>1/1</f>
        <v>1</v>
      </c>
      <c r="DD6" s="107">
        <v>8</v>
      </c>
      <c r="DE6" s="108">
        <v>5</v>
      </c>
      <c r="DF6" s="108">
        <v>5</v>
      </c>
      <c r="DG6" s="108">
        <v>0</v>
      </c>
      <c r="DH6" s="17">
        <f>DE6/DD6</f>
        <v>0.625</v>
      </c>
      <c r="DI6" s="18">
        <f>DF6/DF4</f>
        <v>0.625</v>
      </c>
      <c r="DJ6" s="19">
        <v>0</v>
      </c>
      <c r="DK6" s="107">
        <v>4</v>
      </c>
      <c r="DL6" s="108">
        <v>3</v>
      </c>
      <c r="DM6" s="188" t="s">
        <v>61</v>
      </c>
      <c r="DN6" s="108">
        <v>3</v>
      </c>
      <c r="DO6" s="17">
        <f>DL6/DK6</f>
        <v>0.75</v>
      </c>
      <c r="DP6" s="188" t="s">
        <v>61</v>
      </c>
      <c r="DQ6" s="19">
        <f>DN6/DN4</f>
        <v>0.75</v>
      </c>
    </row>
    <row r="7" spans="1:121" ht="15">
      <c r="A7" s="1" t="s">
        <v>9</v>
      </c>
      <c r="B7" t="s">
        <v>36</v>
      </c>
      <c r="C7" s="368">
        <v>0</v>
      </c>
      <c r="D7" s="369"/>
      <c r="E7" s="13">
        <v>0</v>
      </c>
      <c r="F7" s="207">
        <v>0</v>
      </c>
      <c r="G7" s="361" t="s">
        <v>61</v>
      </c>
      <c r="H7" s="361"/>
      <c r="I7" s="361"/>
      <c r="J7" s="368"/>
      <c r="K7" s="369"/>
      <c r="L7" s="13">
        <v>0</v>
      </c>
      <c r="M7" s="189"/>
      <c r="N7" s="361" t="s">
        <v>61</v>
      </c>
      <c r="O7" s="361"/>
      <c r="P7" s="361"/>
      <c r="Q7" s="378">
        <v>0</v>
      </c>
      <c r="R7" s="379"/>
      <c r="S7" s="176">
        <v>0</v>
      </c>
      <c r="T7" s="48">
        <v>0</v>
      </c>
      <c r="U7" s="361" t="s">
        <v>61</v>
      </c>
      <c r="V7" s="361"/>
      <c r="W7" s="362"/>
      <c r="X7" s="359">
        <f>Z7+AA7</f>
        <v>134000</v>
      </c>
      <c r="Y7" s="367"/>
      <c r="Z7" s="13">
        <v>65000</v>
      </c>
      <c r="AA7" s="110">
        <v>69000</v>
      </c>
      <c r="AB7" s="361" t="s">
        <v>61</v>
      </c>
      <c r="AC7" s="361"/>
      <c r="AD7" s="362"/>
      <c r="AE7" s="359">
        <v>0</v>
      </c>
      <c r="AF7" s="367"/>
      <c r="AG7" s="13">
        <v>0</v>
      </c>
      <c r="AH7" s="110">
        <v>0</v>
      </c>
      <c r="AI7" s="361" t="s">
        <v>61</v>
      </c>
      <c r="AJ7" s="361"/>
      <c r="AK7" s="362"/>
      <c r="AL7" s="370">
        <v>11902.25</v>
      </c>
      <c r="AM7" s="371"/>
      <c r="AN7" s="189">
        <v>11902.25</v>
      </c>
      <c r="AO7" s="192" t="s">
        <v>61</v>
      </c>
      <c r="AP7" s="361" t="s">
        <v>61</v>
      </c>
      <c r="AQ7" s="361"/>
      <c r="AR7" s="361"/>
      <c r="AS7" s="359">
        <v>0</v>
      </c>
      <c r="AT7" s="367"/>
      <c r="AU7" s="13">
        <v>0</v>
      </c>
      <c r="AV7" s="110">
        <v>0</v>
      </c>
      <c r="AW7" s="361" t="s">
        <v>61</v>
      </c>
      <c r="AX7" s="361"/>
      <c r="AY7" s="362"/>
      <c r="AZ7" s="359">
        <f>BB7+BC7</f>
        <v>1071680.63</v>
      </c>
      <c r="BA7" s="367"/>
      <c r="BB7" s="11">
        <v>1012680.63</v>
      </c>
      <c r="BC7" s="110">
        <v>59000</v>
      </c>
      <c r="BD7" s="361" t="s">
        <v>61</v>
      </c>
      <c r="BE7" s="361"/>
      <c r="BF7" s="362"/>
      <c r="BG7" s="359">
        <v>0</v>
      </c>
      <c r="BH7" s="367"/>
      <c r="BI7" s="13">
        <v>0</v>
      </c>
      <c r="BJ7" s="110">
        <v>0</v>
      </c>
      <c r="BK7" s="361" t="s">
        <v>61</v>
      </c>
      <c r="BL7" s="361"/>
      <c r="BM7" s="362"/>
      <c r="BN7" s="359">
        <v>448873.22</v>
      </c>
      <c r="BO7" s="367"/>
      <c r="BP7" s="178">
        <v>448873.22</v>
      </c>
      <c r="BQ7" s="30">
        <v>0</v>
      </c>
      <c r="BR7" s="361" t="s">
        <v>61</v>
      </c>
      <c r="BS7" s="361"/>
      <c r="BT7" s="362"/>
      <c r="BU7" s="359">
        <v>206602.95</v>
      </c>
      <c r="BV7" s="367"/>
      <c r="BW7" s="103">
        <v>0</v>
      </c>
      <c r="BX7" s="178">
        <v>206602.95</v>
      </c>
      <c r="BY7" s="361" t="s">
        <v>61</v>
      </c>
      <c r="BZ7" s="361"/>
      <c r="CA7" s="362"/>
      <c r="CB7" s="359">
        <v>0</v>
      </c>
      <c r="CC7" s="367"/>
      <c r="CD7" s="7">
        <v>0</v>
      </c>
      <c r="CE7" s="30">
        <v>0</v>
      </c>
      <c r="CF7" s="361" t="s">
        <v>61</v>
      </c>
      <c r="CG7" s="361"/>
      <c r="CH7" s="362"/>
      <c r="CI7" s="359">
        <v>4200</v>
      </c>
      <c r="CJ7" s="367"/>
      <c r="CK7" s="179">
        <v>4200</v>
      </c>
      <c r="CL7" s="30">
        <v>0</v>
      </c>
      <c r="CM7" s="361" t="s">
        <v>61</v>
      </c>
      <c r="CN7" s="361"/>
      <c r="CO7" s="362"/>
      <c r="CP7" s="359">
        <v>0</v>
      </c>
      <c r="CQ7" s="367"/>
      <c r="CR7" s="13">
        <v>0</v>
      </c>
      <c r="CS7" s="30">
        <v>0</v>
      </c>
      <c r="CT7" s="361" t="s">
        <v>61</v>
      </c>
      <c r="CU7" s="361"/>
      <c r="CV7" s="362"/>
      <c r="CW7" s="359">
        <f>CY7+CZ7</f>
        <v>103180.18</v>
      </c>
      <c r="CX7" s="367"/>
      <c r="CY7" s="13">
        <v>93180.18</v>
      </c>
      <c r="CZ7" s="179">
        <v>10000</v>
      </c>
      <c r="DA7" s="361" t="s">
        <v>61</v>
      </c>
      <c r="DB7" s="361"/>
      <c r="DC7" s="362"/>
      <c r="DD7" s="359">
        <v>251182.54</v>
      </c>
      <c r="DE7" s="367"/>
      <c r="DF7" s="13">
        <v>251182.54</v>
      </c>
      <c r="DG7" s="110">
        <v>0</v>
      </c>
      <c r="DH7" s="361" t="s">
        <v>61</v>
      </c>
      <c r="DI7" s="361"/>
      <c r="DJ7" s="362"/>
      <c r="DK7" s="359">
        <v>29837</v>
      </c>
      <c r="DL7" s="367"/>
      <c r="DM7" s="188" t="s">
        <v>61</v>
      </c>
      <c r="DN7" s="110">
        <v>29837</v>
      </c>
      <c r="DO7" s="361" t="s">
        <v>61</v>
      </c>
      <c r="DP7" s="361"/>
      <c r="DQ7" s="362"/>
    </row>
    <row r="8" spans="1:121" ht="15">
      <c r="A8" s="1" t="s">
        <v>10</v>
      </c>
      <c r="B8" t="s">
        <v>37</v>
      </c>
      <c r="C8" s="219">
        <f>43+7</f>
        <v>50</v>
      </c>
      <c r="D8" s="220">
        <f>E8+F8</f>
        <v>32</v>
      </c>
      <c r="E8" s="220">
        <v>26</v>
      </c>
      <c r="F8" s="207">
        <v>6</v>
      </c>
      <c r="G8" s="18">
        <f>D8/C8</f>
        <v>0.64</v>
      </c>
      <c r="H8" s="18">
        <f>E8/43</f>
        <v>0.6046511627906976</v>
      </c>
      <c r="I8" s="18">
        <f>F8/7</f>
        <v>0.8571428571428571</v>
      </c>
      <c r="J8" s="219">
        <f>L5+M5</f>
        <v>17</v>
      </c>
      <c r="K8" s="220">
        <f>L8+M8</f>
        <v>7</v>
      </c>
      <c r="L8" s="220">
        <v>5</v>
      </c>
      <c r="M8" s="220">
        <v>2</v>
      </c>
      <c r="N8" s="18">
        <f>K8/J8</f>
        <v>0.4117647058823529</v>
      </c>
      <c r="O8" s="18">
        <f>L8/L5</f>
        <v>0.3333333333333333</v>
      </c>
      <c r="P8" s="18">
        <f>M8/M5</f>
        <v>1</v>
      </c>
      <c r="Q8" s="31">
        <v>13</v>
      </c>
      <c r="R8" s="32">
        <v>3</v>
      </c>
      <c r="S8" s="32">
        <v>3</v>
      </c>
      <c r="T8" s="188" t="s">
        <v>61</v>
      </c>
      <c r="U8" s="17">
        <f>R8/Q8</f>
        <v>0.23076923076923078</v>
      </c>
      <c r="V8" s="17">
        <f>S8/Q8</f>
        <v>0.23076923076923078</v>
      </c>
      <c r="W8" s="188" t="s">
        <v>61</v>
      </c>
      <c r="X8" s="107">
        <f>38+2</f>
        <v>40</v>
      </c>
      <c r="Y8" s="108">
        <f>Z8+AA8</f>
        <v>31</v>
      </c>
      <c r="Z8" s="108">
        <v>29</v>
      </c>
      <c r="AA8" s="108">
        <v>2</v>
      </c>
      <c r="AB8" s="17">
        <f>Y8/X8</f>
        <v>0.775</v>
      </c>
      <c r="AC8" s="17">
        <f>Z8/38</f>
        <v>0.7631578947368421</v>
      </c>
      <c r="AD8" s="19">
        <f>AA8/2</f>
        <v>1</v>
      </c>
      <c r="AE8" s="107">
        <v>34</v>
      </c>
      <c r="AF8" s="108">
        <v>15</v>
      </c>
      <c r="AG8" s="108">
        <v>15</v>
      </c>
      <c r="AH8" s="188" t="s">
        <v>61</v>
      </c>
      <c r="AI8" s="17">
        <f>AF8/AE8</f>
        <v>0.4411764705882353</v>
      </c>
      <c r="AJ8" s="17">
        <f>AG8/34</f>
        <v>0.4411764705882353</v>
      </c>
      <c r="AK8" s="188" t="s">
        <v>61</v>
      </c>
      <c r="AL8" s="227">
        <v>18</v>
      </c>
      <c r="AM8" s="228">
        <v>7</v>
      </c>
      <c r="AN8" s="228">
        <v>7</v>
      </c>
      <c r="AO8" s="188" t="s">
        <v>61</v>
      </c>
      <c r="AP8" s="18">
        <f>AM8/AL8</f>
        <v>0.3888888888888889</v>
      </c>
      <c r="AQ8" s="18">
        <f>AN8/AL8</f>
        <v>0.3888888888888889</v>
      </c>
      <c r="AR8" s="188" t="s">
        <v>61</v>
      </c>
      <c r="AS8" s="107">
        <f>AT5</f>
        <v>12</v>
      </c>
      <c r="AT8" s="108">
        <f>AU8+AV8</f>
        <v>3</v>
      </c>
      <c r="AU8" s="108">
        <v>3</v>
      </c>
      <c r="AV8" s="108">
        <v>0</v>
      </c>
      <c r="AW8" s="17">
        <f>AT8/AS8</f>
        <v>0.25</v>
      </c>
      <c r="AX8" s="17">
        <f>AU8/12</f>
        <v>0.25</v>
      </c>
      <c r="AY8" s="19">
        <f>0</f>
        <v>0</v>
      </c>
      <c r="AZ8" s="107">
        <f>BB5+BC5</f>
        <v>36</v>
      </c>
      <c r="BA8" s="108">
        <f>BB8+BC8</f>
        <v>30</v>
      </c>
      <c r="BB8" s="108">
        <v>29</v>
      </c>
      <c r="BC8" s="108">
        <v>1</v>
      </c>
      <c r="BD8" s="17">
        <f>BA8/AZ8</f>
        <v>0.8333333333333334</v>
      </c>
      <c r="BE8" s="17">
        <f>BB8/BB5</f>
        <v>0.8285714285714286</v>
      </c>
      <c r="BF8" s="19">
        <f>BC8/BC5</f>
        <v>1</v>
      </c>
      <c r="BG8" s="107">
        <f>BI5+BJ5</f>
        <v>50</v>
      </c>
      <c r="BH8" s="108">
        <f>BI8+BJ8</f>
        <v>33</v>
      </c>
      <c r="BI8" s="108">
        <v>29</v>
      </c>
      <c r="BJ8" s="108">
        <v>4</v>
      </c>
      <c r="BK8" s="17">
        <f>BH8/BG8</f>
        <v>0.66</v>
      </c>
      <c r="BL8" s="17">
        <f>BI8/BI5</f>
        <v>0.6444444444444445</v>
      </c>
      <c r="BM8" s="19">
        <f>BJ8/BJ5</f>
        <v>0.8</v>
      </c>
      <c r="BN8" s="31">
        <v>34</v>
      </c>
      <c r="BO8" s="32">
        <v>20</v>
      </c>
      <c r="BP8" s="32">
        <v>20</v>
      </c>
      <c r="BQ8" s="188" t="s">
        <v>61</v>
      </c>
      <c r="BR8" s="17">
        <f>BO8/BN8</f>
        <v>0.5882352941176471</v>
      </c>
      <c r="BS8" s="17">
        <f>BP8/34</f>
        <v>0.5882352941176471</v>
      </c>
      <c r="BT8" s="188" t="s">
        <v>61</v>
      </c>
      <c r="BU8" s="31">
        <f>BW5+BX5</f>
        <v>31</v>
      </c>
      <c r="BV8" s="32">
        <f>BW8+BX8</f>
        <v>26</v>
      </c>
      <c r="BW8" s="32">
        <v>25</v>
      </c>
      <c r="BX8" s="32">
        <v>1</v>
      </c>
      <c r="BY8" s="17">
        <f>BV8/BU8</f>
        <v>0.8387096774193549</v>
      </c>
      <c r="BZ8" s="17">
        <f>BW8/29</f>
        <v>0.8620689655172413</v>
      </c>
      <c r="CA8" s="19">
        <f>BX8/2</f>
        <v>0.5</v>
      </c>
      <c r="CB8" s="31">
        <v>17</v>
      </c>
      <c r="CC8" s="32">
        <v>10</v>
      </c>
      <c r="CD8" s="32">
        <v>10</v>
      </c>
      <c r="CE8" s="188" t="s">
        <v>61</v>
      </c>
      <c r="CF8" s="17">
        <f>CC8/CB8</f>
        <v>0.5882352941176471</v>
      </c>
      <c r="CG8" s="17">
        <f>CD8/CB8</f>
        <v>0.5882352941176471</v>
      </c>
      <c r="CH8" s="188" t="s">
        <v>61</v>
      </c>
      <c r="CI8" s="31">
        <f>CJ5</f>
        <v>63</v>
      </c>
      <c r="CJ8" s="32">
        <v>48</v>
      </c>
      <c r="CK8" s="32">
        <v>48</v>
      </c>
      <c r="CL8" s="188" t="s">
        <v>61</v>
      </c>
      <c r="CM8" s="17">
        <f>CJ8/CI8</f>
        <v>0.7619047619047619</v>
      </c>
      <c r="CN8" s="17">
        <f>CK8/CK5</f>
        <v>0.7619047619047619</v>
      </c>
      <c r="CO8" s="188" t="s">
        <v>61</v>
      </c>
      <c r="CP8" s="31">
        <f>CR5+CS5</f>
        <v>24</v>
      </c>
      <c r="CQ8" s="32">
        <f>CR8+CS8</f>
        <v>4</v>
      </c>
      <c r="CR8" s="32">
        <v>3</v>
      </c>
      <c r="CS8" s="32">
        <v>1</v>
      </c>
      <c r="CT8" s="17">
        <f>CQ8/CP8</f>
        <v>0.16666666666666666</v>
      </c>
      <c r="CU8" s="17">
        <f>CR8/CR5</f>
        <v>0.15</v>
      </c>
      <c r="CV8" s="19">
        <f>CS8/CS5</f>
        <v>0.25</v>
      </c>
      <c r="CW8" s="107">
        <v>44</v>
      </c>
      <c r="CX8" s="108">
        <v>32</v>
      </c>
      <c r="CY8" s="108">
        <v>32</v>
      </c>
      <c r="CZ8" s="108">
        <v>0</v>
      </c>
      <c r="DA8" s="17">
        <f>CX8/CW8</f>
        <v>0.7272727272727273</v>
      </c>
      <c r="DB8" s="17">
        <f>CY8/44</f>
        <v>0.7272727272727273</v>
      </c>
      <c r="DC8" s="19">
        <v>0</v>
      </c>
      <c r="DD8" s="107">
        <v>21</v>
      </c>
      <c r="DE8" s="108">
        <v>16</v>
      </c>
      <c r="DF8" s="108">
        <v>16</v>
      </c>
      <c r="DG8" s="188" t="s">
        <v>61</v>
      </c>
      <c r="DH8" s="17">
        <f>DE8/DD8</f>
        <v>0.7619047619047619</v>
      </c>
      <c r="DI8" s="17">
        <f>DF8/21</f>
        <v>0.7619047619047619</v>
      </c>
      <c r="DJ8" s="188" t="s">
        <v>61</v>
      </c>
      <c r="DK8" s="107">
        <f>DL5</f>
        <v>98</v>
      </c>
      <c r="DL8" s="108">
        <f>DM8+DN8</f>
        <v>88</v>
      </c>
      <c r="DM8" s="108">
        <v>88</v>
      </c>
      <c r="DN8" s="108">
        <v>0</v>
      </c>
      <c r="DO8" s="17">
        <f>DL8/DK8</f>
        <v>0.8979591836734694</v>
      </c>
      <c r="DP8" s="17">
        <f>DM8/DM5</f>
        <v>0.8979591836734694</v>
      </c>
      <c r="DQ8" s="19">
        <v>0</v>
      </c>
    </row>
    <row r="9" spans="1:121" ht="15">
      <c r="A9" s="1" t="s">
        <v>11</v>
      </c>
      <c r="B9" t="s">
        <v>38</v>
      </c>
      <c r="C9" s="370">
        <f>E9+F9</f>
        <v>1998447.54</v>
      </c>
      <c r="D9" s="371"/>
      <c r="E9" s="213">
        <v>1970450.55</v>
      </c>
      <c r="F9" s="207">
        <v>27996.99</v>
      </c>
      <c r="G9" s="361" t="s">
        <v>61</v>
      </c>
      <c r="H9" s="361"/>
      <c r="I9" s="362"/>
      <c r="J9" s="370">
        <f>L9+M9</f>
        <v>190304.28</v>
      </c>
      <c r="K9" s="371"/>
      <c r="L9" s="189">
        <v>173899.52</v>
      </c>
      <c r="M9" s="189">
        <v>16404.76</v>
      </c>
      <c r="N9" s="361" t="s">
        <v>61</v>
      </c>
      <c r="O9" s="361"/>
      <c r="P9" s="361"/>
      <c r="Q9" s="359">
        <v>64803.06</v>
      </c>
      <c r="R9" s="360"/>
      <c r="S9" s="209">
        <v>64803.06</v>
      </c>
      <c r="T9" s="188" t="s">
        <v>61</v>
      </c>
      <c r="U9" s="361" t="s">
        <v>61</v>
      </c>
      <c r="V9" s="361"/>
      <c r="W9" s="362"/>
      <c r="X9" s="370">
        <f>Z9+AA9</f>
        <v>24904160.79</v>
      </c>
      <c r="Y9" s="371"/>
      <c r="Z9" s="240">
        <v>24791782.59</v>
      </c>
      <c r="AA9" s="240">
        <v>112378.2</v>
      </c>
      <c r="AB9" s="361" t="s">
        <v>61</v>
      </c>
      <c r="AC9" s="361"/>
      <c r="AD9" s="362"/>
      <c r="AE9" s="370">
        <v>12465946.4</v>
      </c>
      <c r="AF9" s="371"/>
      <c r="AG9" s="245">
        <v>12465946.4</v>
      </c>
      <c r="AH9" s="192" t="s">
        <v>61</v>
      </c>
      <c r="AI9" s="361" t="s">
        <v>61</v>
      </c>
      <c r="AJ9" s="361"/>
      <c r="AK9" s="362"/>
      <c r="AL9" s="368">
        <v>263464.12</v>
      </c>
      <c r="AM9" s="369"/>
      <c r="AN9" s="229">
        <v>263464.12</v>
      </c>
      <c r="AO9" s="192" t="s">
        <v>61</v>
      </c>
      <c r="AP9" s="361" t="s">
        <v>61</v>
      </c>
      <c r="AQ9" s="361"/>
      <c r="AR9" s="361"/>
      <c r="AS9" s="370">
        <v>7773357</v>
      </c>
      <c r="AT9" s="371"/>
      <c r="AU9" s="240">
        <v>7773357</v>
      </c>
      <c r="AV9" s="108">
        <v>0</v>
      </c>
      <c r="AW9" s="361" t="s">
        <v>61</v>
      </c>
      <c r="AX9" s="361"/>
      <c r="AY9" s="362"/>
      <c r="AZ9" s="370">
        <v>8208249.58</v>
      </c>
      <c r="BA9" s="371"/>
      <c r="BB9" s="251">
        <v>8208249.58</v>
      </c>
      <c r="BC9" s="108">
        <v>0</v>
      </c>
      <c r="BD9" s="361" t="s">
        <v>61</v>
      </c>
      <c r="BE9" s="361"/>
      <c r="BF9" s="362"/>
      <c r="BG9" s="370">
        <f>BI9+BJ9</f>
        <v>4013733.02</v>
      </c>
      <c r="BH9" s="371"/>
      <c r="BI9" s="262">
        <v>3574978.98</v>
      </c>
      <c r="BJ9" s="262">
        <v>438754.04</v>
      </c>
      <c r="BK9" s="361" t="s">
        <v>61</v>
      </c>
      <c r="BL9" s="361"/>
      <c r="BM9" s="362"/>
      <c r="BN9" s="370">
        <v>2057567.88</v>
      </c>
      <c r="BO9" s="371"/>
      <c r="BP9" s="268">
        <v>2057567.88</v>
      </c>
      <c r="BQ9" s="188" t="s">
        <v>61</v>
      </c>
      <c r="BR9" s="361" t="s">
        <v>61</v>
      </c>
      <c r="BS9" s="361"/>
      <c r="BT9" s="362"/>
      <c r="BU9" s="370">
        <v>5929686.81</v>
      </c>
      <c r="BV9" s="371"/>
      <c r="BW9" s="217">
        <v>5929686.81</v>
      </c>
      <c r="BX9" s="32">
        <v>0</v>
      </c>
      <c r="BY9" s="361" t="s">
        <v>61</v>
      </c>
      <c r="BZ9" s="361"/>
      <c r="CA9" s="362"/>
      <c r="CB9" s="370">
        <v>899904.12</v>
      </c>
      <c r="CC9" s="371"/>
      <c r="CD9" s="235">
        <v>899904.12</v>
      </c>
      <c r="CE9" s="188" t="s">
        <v>61</v>
      </c>
      <c r="CF9" s="361" t="s">
        <v>61</v>
      </c>
      <c r="CG9" s="361"/>
      <c r="CH9" s="362"/>
      <c r="CI9" s="370">
        <v>7982276.56</v>
      </c>
      <c r="CJ9" s="371"/>
      <c r="CK9" s="274">
        <v>7982276.56</v>
      </c>
      <c r="CL9" s="188" t="s">
        <v>61</v>
      </c>
      <c r="CM9" s="361" t="s">
        <v>61</v>
      </c>
      <c r="CN9" s="361"/>
      <c r="CO9" s="362"/>
      <c r="CP9" s="368">
        <f>CR9+CS9</f>
        <v>1298538.75</v>
      </c>
      <c r="CQ9" s="369"/>
      <c r="CR9" s="224">
        <v>1145282.25</v>
      </c>
      <c r="CS9" s="224">
        <v>153256.5</v>
      </c>
      <c r="CT9" s="361" t="s">
        <v>61</v>
      </c>
      <c r="CU9" s="361"/>
      <c r="CV9" s="362"/>
      <c r="CW9" s="370">
        <v>8659696.69</v>
      </c>
      <c r="CX9" s="371"/>
      <c r="CY9" s="243">
        <v>8659696.69</v>
      </c>
      <c r="CZ9" s="108">
        <v>0</v>
      </c>
      <c r="DA9" s="361" t="s">
        <v>61</v>
      </c>
      <c r="DB9" s="361"/>
      <c r="DC9" s="362"/>
      <c r="DD9" s="370">
        <v>2480197.36</v>
      </c>
      <c r="DE9" s="371"/>
      <c r="DF9" s="248">
        <v>2480197.36</v>
      </c>
      <c r="DG9" s="188" t="s">
        <v>61</v>
      </c>
      <c r="DH9" s="361" t="s">
        <v>61</v>
      </c>
      <c r="DI9" s="361"/>
      <c r="DJ9" s="362"/>
      <c r="DK9" s="368">
        <f>DM9+DN9</f>
        <v>7072665.12</v>
      </c>
      <c r="DL9" s="369"/>
      <c r="DM9" s="298">
        <v>7072665.12</v>
      </c>
      <c r="DN9" s="108">
        <v>0</v>
      </c>
      <c r="DO9" s="361" t="s">
        <v>61</v>
      </c>
      <c r="DP9" s="361"/>
      <c r="DQ9" s="362"/>
    </row>
    <row r="10" spans="1:121" ht="15">
      <c r="A10" s="1" t="s">
        <v>12</v>
      </c>
      <c r="B10" t="s">
        <v>22</v>
      </c>
      <c r="C10" s="366">
        <v>0</v>
      </c>
      <c r="D10" s="360"/>
      <c r="E10" s="189">
        <v>0</v>
      </c>
      <c r="F10" s="207">
        <v>0</v>
      </c>
      <c r="G10" s="361" t="s">
        <v>61</v>
      </c>
      <c r="H10" s="361"/>
      <c r="I10" s="362"/>
      <c r="J10" s="363">
        <f>L10+M10</f>
        <v>2</v>
      </c>
      <c r="K10" s="360"/>
      <c r="L10" s="189">
        <v>2</v>
      </c>
      <c r="M10" s="189">
        <v>0</v>
      </c>
      <c r="N10" s="361" t="s">
        <v>61</v>
      </c>
      <c r="O10" s="361"/>
      <c r="P10" s="361"/>
      <c r="Q10" s="366">
        <v>0</v>
      </c>
      <c r="R10" s="360"/>
      <c r="S10" s="32">
        <v>0</v>
      </c>
      <c r="T10" s="188" t="s">
        <v>61</v>
      </c>
      <c r="U10" s="361" t="s">
        <v>61</v>
      </c>
      <c r="V10" s="361"/>
      <c r="W10" s="362"/>
      <c r="X10" s="366">
        <v>2</v>
      </c>
      <c r="Y10" s="360"/>
      <c r="Z10" s="108">
        <v>2</v>
      </c>
      <c r="AA10" s="108">
        <v>0</v>
      </c>
      <c r="AB10" s="361" t="s">
        <v>61</v>
      </c>
      <c r="AC10" s="361"/>
      <c r="AD10" s="362"/>
      <c r="AE10" s="366">
        <v>0</v>
      </c>
      <c r="AF10" s="360"/>
      <c r="AG10" s="108">
        <v>0</v>
      </c>
      <c r="AH10" s="188" t="s">
        <v>61</v>
      </c>
      <c r="AI10" s="361" t="s">
        <v>61</v>
      </c>
      <c r="AJ10" s="361"/>
      <c r="AK10" s="362"/>
      <c r="AL10" s="366">
        <v>0</v>
      </c>
      <c r="AM10" s="360"/>
      <c r="AN10" s="189">
        <v>0</v>
      </c>
      <c r="AO10" s="188" t="s">
        <v>61</v>
      </c>
      <c r="AP10" s="361" t="s">
        <v>61</v>
      </c>
      <c r="AQ10" s="361"/>
      <c r="AR10" s="361"/>
      <c r="AS10" s="366">
        <v>0</v>
      </c>
      <c r="AT10" s="360"/>
      <c r="AU10" s="108">
        <v>0</v>
      </c>
      <c r="AV10" s="108">
        <v>0</v>
      </c>
      <c r="AW10" s="361" t="s">
        <v>61</v>
      </c>
      <c r="AX10" s="361"/>
      <c r="AY10" s="362"/>
      <c r="AZ10" s="366">
        <v>0</v>
      </c>
      <c r="BA10" s="360"/>
      <c r="BB10" s="108">
        <v>0</v>
      </c>
      <c r="BC10" s="108">
        <v>0</v>
      </c>
      <c r="BD10" s="361" t="s">
        <v>61</v>
      </c>
      <c r="BE10" s="361"/>
      <c r="BF10" s="362"/>
      <c r="BG10" s="366">
        <v>0</v>
      </c>
      <c r="BH10" s="360"/>
      <c r="BI10" s="108">
        <v>0</v>
      </c>
      <c r="BJ10" s="108">
        <v>0</v>
      </c>
      <c r="BK10" s="361" t="s">
        <v>61</v>
      </c>
      <c r="BL10" s="361"/>
      <c r="BM10" s="362"/>
      <c r="BN10" s="366">
        <v>0</v>
      </c>
      <c r="BO10" s="360"/>
      <c r="BP10" s="265">
        <v>0</v>
      </c>
      <c r="BQ10" s="188" t="s">
        <v>61</v>
      </c>
      <c r="BR10" s="361" t="s">
        <v>61</v>
      </c>
      <c r="BS10" s="361"/>
      <c r="BT10" s="362"/>
      <c r="BU10" s="366">
        <v>0</v>
      </c>
      <c r="BV10" s="360"/>
      <c r="BW10" s="32">
        <v>0</v>
      </c>
      <c r="BX10" s="32">
        <v>0</v>
      </c>
      <c r="BY10" s="361" t="s">
        <v>61</v>
      </c>
      <c r="BZ10" s="361"/>
      <c r="CA10" s="362"/>
      <c r="CB10" s="366">
        <v>0</v>
      </c>
      <c r="CC10" s="360"/>
      <c r="CD10" s="32">
        <v>0</v>
      </c>
      <c r="CE10" s="188" t="s">
        <v>61</v>
      </c>
      <c r="CF10" s="361" t="s">
        <v>61</v>
      </c>
      <c r="CG10" s="361"/>
      <c r="CH10" s="362"/>
      <c r="CI10" s="366">
        <v>0</v>
      </c>
      <c r="CJ10" s="360"/>
      <c r="CK10" s="32">
        <v>0</v>
      </c>
      <c r="CL10" s="188" t="s">
        <v>61</v>
      </c>
      <c r="CM10" s="361" t="s">
        <v>61</v>
      </c>
      <c r="CN10" s="361"/>
      <c r="CO10" s="362"/>
      <c r="CP10" s="366">
        <v>0</v>
      </c>
      <c r="CQ10" s="360"/>
      <c r="CR10" s="32">
        <v>0</v>
      </c>
      <c r="CS10" s="32">
        <v>0</v>
      </c>
      <c r="CT10" s="361" t="s">
        <v>61</v>
      </c>
      <c r="CU10" s="361"/>
      <c r="CV10" s="362"/>
      <c r="CW10" s="366">
        <v>0</v>
      </c>
      <c r="CX10" s="360"/>
      <c r="CY10" s="108">
        <v>0</v>
      </c>
      <c r="CZ10" s="108">
        <v>0</v>
      </c>
      <c r="DA10" s="361" t="s">
        <v>61</v>
      </c>
      <c r="DB10" s="361"/>
      <c r="DC10" s="362"/>
      <c r="DD10" s="366">
        <v>0</v>
      </c>
      <c r="DE10" s="360"/>
      <c r="DF10" s="252">
        <v>0</v>
      </c>
      <c r="DG10" s="188" t="s">
        <v>61</v>
      </c>
      <c r="DH10" s="361" t="s">
        <v>61</v>
      </c>
      <c r="DI10" s="361"/>
      <c r="DJ10" s="362"/>
      <c r="DK10" s="366">
        <v>0</v>
      </c>
      <c r="DL10" s="360"/>
      <c r="DM10" s="108">
        <v>0</v>
      </c>
      <c r="DN10" s="108">
        <v>0</v>
      </c>
      <c r="DO10" s="361" t="s">
        <v>61</v>
      </c>
      <c r="DP10" s="361"/>
      <c r="DQ10" s="362"/>
    </row>
    <row r="11" spans="1:121" ht="15">
      <c r="A11" s="1" t="s">
        <v>13</v>
      </c>
      <c r="B11" t="s">
        <v>23</v>
      </c>
      <c r="C11" s="366">
        <v>0</v>
      </c>
      <c r="D11" s="360"/>
      <c r="E11" s="189">
        <v>0</v>
      </c>
      <c r="F11" s="207">
        <v>0</v>
      </c>
      <c r="G11" s="361" t="s">
        <v>61</v>
      </c>
      <c r="H11" s="361"/>
      <c r="I11" s="362"/>
      <c r="J11" s="363">
        <f>L11+M11</f>
        <v>12861.55</v>
      </c>
      <c r="K11" s="360"/>
      <c r="L11" s="189">
        <v>12861.55</v>
      </c>
      <c r="M11" s="189">
        <v>0</v>
      </c>
      <c r="N11" s="361" t="s">
        <v>61</v>
      </c>
      <c r="O11" s="361"/>
      <c r="P11" s="361"/>
      <c r="Q11" s="366">
        <v>0</v>
      </c>
      <c r="R11" s="360"/>
      <c r="S11" s="32">
        <v>0</v>
      </c>
      <c r="T11" s="188" t="s">
        <v>61</v>
      </c>
      <c r="U11" s="361" t="s">
        <v>61</v>
      </c>
      <c r="V11" s="361"/>
      <c r="W11" s="362"/>
      <c r="X11" s="359">
        <v>125370.27</v>
      </c>
      <c r="Y11" s="360"/>
      <c r="Z11" s="240">
        <v>125370.27</v>
      </c>
      <c r="AA11" s="108">
        <v>0</v>
      </c>
      <c r="AB11" s="361" t="s">
        <v>61</v>
      </c>
      <c r="AC11" s="361"/>
      <c r="AD11" s="362"/>
      <c r="AE11" s="366">
        <v>0</v>
      </c>
      <c r="AF11" s="360"/>
      <c r="AG11" s="108">
        <v>0</v>
      </c>
      <c r="AH11" s="192" t="s">
        <v>61</v>
      </c>
      <c r="AI11" s="361" t="s">
        <v>61</v>
      </c>
      <c r="AJ11" s="361"/>
      <c r="AK11" s="362"/>
      <c r="AL11" s="366">
        <v>0</v>
      </c>
      <c r="AM11" s="360"/>
      <c r="AN11" s="189">
        <v>0</v>
      </c>
      <c r="AO11" s="192" t="s">
        <v>61</v>
      </c>
      <c r="AP11" s="361" t="s">
        <v>61</v>
      </c>
      <c r="AQ11" s="361"/>
      <c r="AR11" s="361"/>
      <c r="AS11" s="366">
        <v>0</v>
      </c>
      <c r="AT11" s="360"/>
      <c r="AU11" s="108">
        <v>0</v>
      </c>
      <c r="AV11" s="108">
        <v>0</v>
      </c>
      <c r="AW11" s="361" t="s">
        <v>61</v>
      </c>
      <c r="AX11" s="361"/>
      <c r="AY11" s="362"/>
      <c r="AZ11" s="366">
        <v>0</v>
      </c>
      <c r="BA11" s="360"/>
      <c r="BB11" s="108">
        <v>0</v>
      </c>
      <c r="BC11" s="108">
        <v>0</v>
      </c>
      <c r="BD11" s="361" t="s">
        <v>61</v>
      </c>
      <c r="BE11" s="361"/>
      <c r="BF11" s="362"/>
      <c r="BG11" s="366">
        <v>0</v>
      </c>
      <c r="BH11" s="360"/>
      <c r="BI11" s="108">
        <v>0</v>
      </c>
      <c r="BJ11" s="108">
        <v>0</v>
      </c>
      <c r="BK11" s="361" t="s">
        <v>61</v>
      </c>
      <c r="BL11" s="361"/>
      <c r="BM11" s="362"/>
      <c r="BN11" s="366">
        <v>0</v>
      </c>
      <c r="BO11" s="360"/>
      <c r="BP11" s="265">
        <v>0</v>
      </c>
      <c r="BQ11" s="188" t="s">
        <v>61</v>
      </c>
      <c r="BR11" s="361" t="s">
        <v>61</v>
      </c>
      <c r="BS11" s="361"/>
      <c r="BT11" s="362"/>
      <c r="BU11" s="366">
        <v>0</v>
      </c>
      <c r="BV11" s="360"/>
      <c r="BW11" s="32">
        <v>0</v>
      </c>
      <c r="BX11" s="32">
        <v>0</v>
      </c>
      <c r="BY11" s="361" t="s">
        <v>61</v>
      </c>
      <c r="BZ11" s="361"/>
      <c r="CA11" s="362"/>
      <c r="CB11" s="366">
        <v>0</v>
      </c>
      <c r="CC11" s="360"/>
      <c r="CD11" s="32">
        <v>0</v>
      </c>
      <c r="CE11" s="188" t="s">
        <v>61</v>
      </c>
      <c r="CF11" s="361" t="s">
        <v>61</v>
      </c>
      <c r="CG11" s="361"/>
      <c r="CH11" s="362"/>
      <c r="CI11" s="366">
        <v>0</v>
      </c>
      <c r="CJ11" s="360"/>
      <c r="CK11" s="32">
        <v>0</v>
      </c>
      <c r="CL11" s="188" t="s">
        <v>61</v>
      </c>
      <c r="CM11" s="361" t="s">
        <v>61</v>
      </c>
      <c r="CN11" s="361"/>
      <c r="CO11" s="362"/>
      <c r="CP11" s="366">
        <v>0</v>
      </c>
      <c r="CQ11" s="360"/>
      <c r="CR11" s="32">
        <v>0</v>
      </c>
      <c r="CS11" s="32">
        <v>0</v>
      </c>
      <c r="CT11" s="361" t="s">
        <v>61</v>
      </c>
      <c r="CU11" s="361"/>
      <c r="CV11" s="362"/>
      <c r="CW11" s="366">
        <v>0</v>
      </c>
      <c r="CX11" s="360"/>
      <c r="CY11" s="108">
        <v>0</v>
      </c>
      <c r="CZ11" s="108">
        <v>0</v>
      </c>
      <c r="DA11" s="361" t="s">
        <v>61</v>
      </c>
      <c r="DB11" s="361"/>
      <c r="DC11" s="362"/>
      <c r="DD11" s="366">
        <v>0</v>
      </c>
      <c r="DE11" s="360"/>
      <c r="DF11" s="252">
        <v>0</v>
      </c>
      <c r="DG11" s="188" t="s">
        <v>61</v>
      </c>
      <c r="DH11" s="361" t="s">
        <v>61</v>
      </c>
      <c r="DI11" s="361"/>
      <c r="DJ11" s="362"/>
      <c r="DK11" s="366">
        <v>0</v>
      </c>
      <c r="DL11" s="360"/>
      <c r="DM11" s="108">
        <v>0</v>
      </c>
      <c r="DN11" s="108">
        <v>0</v>
      </c>
      <c r="DO11" s="361" t="s">
        <v>61</v>
      </c>
      <c r="DP11" s="361"/>
      <c r="DQ11" s="362"/>
    </row>
    <row r="12" spans="1:121" ht="15">
      <c r="A12" s="1" t="s">
        <v>14</v>
      </c>
      <c r="B12" t="s">
        <v>24</v>
      </c>
      <c r="C12" s="366">
        <v>1</v>
      </c>
      <c r="D12" s="360"/>
      <c r="E12" s="189">
        <v>1</v>
      </c>
      <c r="F12" s="207">
        <v>0</v>
      </c>
      <c r="G12" s="361" t="s">
        <v>61</v>
      </c>
      <c r="H12" s="361"/>
      <c r="I12" s="362"/>
      <c r="J12" s="366">
        <v>0</v>
      </c>
      <c r="K12" s="360"/>
      <c r="L12" s="189">
        <v>0</v>
      </c>
      <c r="M12" s="189">
        <v>0</v>
      </c>
      <c r="N12" s="361" t="s">
        <v>61</v>
      </c>
      <c r="O12" s="361"/>
      <c r="P12" s="361"/>
      <c r="Q12" s="366">
        <v>0</v>
      </c>
      <c r="R12" s="360"/>
      <c r="S12" s="208">
        <v>0</v>
      </c>
      <c r="T12" s="188" t="s">
        <v>61</v>
      </c>
      <c r="U12" s="361" t="s">
        <v>61</v>
      </c>
      <c r="V12" s="361"/>
      <c r="W12" s="362"/>
      <c r="X12" s="366">
        <v>6</v>
      </c>
      <c r="Y12" s="360"/>
      <c r="Z12" s="108">
        <v>6</v>
      </c>
      <c r="AA12" s="108">
        <v>0</v>
      </c>
      <c r="AB12" s="361" t="s">
        <v>61</v>
      </c>
      <c r="AC12" s="361"/>
      <c r="AD12" s="362"/>
      <c r="AE12" s="366">
        <v>1</v>
      </c>
      <c r="AF12" s="360"/>
      <c r="AG12" s="108">
        <v>1</v>
      </c>
      <c r="AH12" s="188" t="s">
        <v>61</v>
      </c>
      <c r="AI12" s="361" t="s">
        <v>61</v>
      </c>
      <c r="AJ12" s="361"/>
      <c r="AK12" s="362"/>
      <c r="AL12" s="366">
        <v>0</v>
      </c>
      <c r="AM12" s="360"/>
      <c r="AN12" s="228">
        <v>0</v>
      </c>
      <c r="AO12" s="188" t="s">
        <v>61</v>
      </c>
      <c r="AP12" s="361" t="s">
        <v>61</v>
      </c>
      <c r="AQ12" s="361"/>
      <c r="AR12" s="361"/>
      <c r="AS12" s="366">
        <v>0</v>
      </c>
      <c r="AT12" s="360"/>
      <c r="AU12" s="238">
        <v>0</v>
      </c>
      <c r="AV12" s="238">
        <v>0</v>
      </c>
      <c r="AW12" s="361" t="s">
        <v>61</v>
      </c>
      <c r="AX12" s="361"/>
      <c r="AY12" s="362"/>
      <c r="AZ12" s="366">
        <f>BB12+BC12</f>
        <v>2</v>
      </c>
      <c r="BA12" s="360"/>
      <c r="BB12" s="108">
        <v>2</v>
      </c>
      <c r="BC12" s="108">
        <v>0</v>
      </c>
      <c r="BD12" s="361" t="s">
        <v>61</v>
      </c>
      <c r="BE12" s="361"/>
      <c r="BF12" s="362"/>
      <c r="BG12" s="366">
        <f>BI12+BJ12</f>
        <v>7</v>
      </c>
      <c r="BH12" s="360"/>
      <c r="BI12" s="108">
        <v>6</v>
      </c>
      <c r="BJ12" s="108">
        <v>1</v>
      </c>
      <c r="BK12" s="361" t="s">
        <v>61</v>
      </c>
      <c r="BL12" s="361"/>
      <c r="BM12" s="362"/>
      <c r="BN12" s="366">
        <v>1</v>
      </c>
      <c r="BO12" s="360"/>
      <c r="BP12" s="32">
        <v>1</v>
      </c>
      <c r="BQ12" s="188" t="s">
        <v>61</v>
      </c>
      <c r="BR12" s="361" t="s">
        <v>61</v>
      </c>
      <c r="BS12" s="361"/>
      <c r="BT12" s="362"/>
      <c r="BU12" s="366">
        <v>1</v>
      </c>
      <c r="BV12" s="360"/>
      <c r="BW12" s="32">
        <v>1</v>
      </c>
      <c r="BX12" s="32">
        <v>0</v>
      </c>
      <c r="BY12" s="361" t="s">
        <v>61</v>
      </c>
      <c r="BZ12" s="361"/>
      <c r="CA12" s="362"/>
      <c r="CB12" s="366">
        <v>63</v>
      </c>
      <c r="CC12" s="360"/>
      <c r="CD12" s="32">
        <v>63</v>
      </c>
      <c r="CE12" s="188" t="s">
        <v>61</v>
      </c>
      <c r="CF12" s="361" t="s">
        <v>61</v>
      </c>
      <c r="CG12" s="361"/>
      <c r="CH12" s="362"/>
      <c r="CI12" s="366">
        <v>4</v>
      </c>
      <c r="CJ12" s="360"/>
      <c r="CK12" s="32">
        <v>4</v>
      </c>
      <c r="CL12" s="188" t="s">
        <v>61</v>
      </c>
      <c r="CM12" s="361" t="s">
        <v>61</v>
      </c>
      <c r="CN12" s="361"/>
      <c r="CO12" s="362"/>
      <c r="CP12" s="366">
        <v>0</v>
      </c>
      <c r="CQ12" s="360"/>
      <c r="CR12" s="223">
        <v>0</v>
      </c>
      <c r="CS12" s="223">
        <v>0</v>
      </c>
      <c r="CT12" s="361" t="s">
        <v>61</v>
      </c>
      <c r="CU12" s="361"/>
      <c r="CV12" s="362"/>
      <c r="CW12" s="366">
        <v>0</v>
      </c>
      <c r="CX12" s="360"/>
      <c r="CY12" s="108">
        <v>0</v>
      </c>
      <c r="CZ12" s="108">
        <v>0</v>
      </c>
      <c r="DA12" s="361" t="s">
        <v>61</v>
      </c>
      <c r="DB12" s="361"/>
      <c r="DC12" s="362"/>
      <c r="DD12" s="366">
        <v>4</v>
      </c>
      <c r="DE12" s="360"/>
      <c r="DF12" s="108">
        <v>4</v>
      </c>
      <c r="DG12" s="188" t="s">
        <v>61</v>
      </c>
      <c r="DH12" s="361" t="s">
        <v>61</v>
      </c>
      <c r="DI12" s="361"/>
      <c r="DJ12" s="362"/>
      <c r="DK12" s="366">
        <f>DM12+DN12</f>
        <v>34</v>
      </c>
      <c r="DL12" s="360"/>
      <c r="DM12" s="108">
        <v>34</v>
      </c>
      <c r="DN12" s="108">
        <v>0</v>
      </c>
      <c r="DO12" s="361" t="s">
        <v>61</v>
      </c>
      <c r="DP12" s="361"/>
      <c r="DQ12" s="362"/>
    </row>
    <row r="13" spans="1:121" ht="15">
      <c r="A13" s="1" t="s">
        <v>15</v>
      </c>
      <c r="B13" t="s">
        <v>25</v>
      </c>
      <c r="C13" s="359">
        <v>207925.65</v>
      </c>
      <c r="D13" s="360"/>
      <c r="E13" s="213">
        <v>207925.65</v>
      </c>
      <c r="F13" s="207">
        <v>0</v>
      </c>
      <c r="G13" s="361" t="s">
        <v>61</v>
      </c>
      <c r="H13" s="361"/>
      <c r="I13" s="362"/>
      <c r="J13" s="366">
        <v>0</v>
      </c>
      <c r="K13" s="360"/>
      <c r="L13" s="189">
        <v>0</v>
      </c>
      <c r="M13" s="189">
        <v>0</v>
      </c>
      <c r="N13" s="361" t="s">
        <v>61</v>
      </c>
      <c r="O13" s="361"/>
      <c r="P13" s="361"/>
      <c r="Q13" s="366">
        <v>0</v>
      </c>
      <c r="R13" s="360"/>
      <c r="S13" s="208">
        <v>0</v>
      </c>
      <c r="T13" s="188" t="s">
        <v>61</v>
      </c>
      <c r="U13" s="361" t="s">
        <v>61</v>
      </c>
      <c r="V13" s="361"/>
      <c r="W13" s="362"/>
      <c r="X13" s="366">
        <v>178744.8</v>
      </c>
      <c r="Y13" s="360"/>
      <c r="Z13" s="240">
        <v>178744.8</v>
      </c>
      <c r="AA13" s="108">
        <v>0</v>
      </c>
      <c r="AB13" s="361" t="s">
        <v>61</v>
      </c>
      <c r="AC13" s="361"/>
      <c r="AD13" s="362"/>
      <c r="AE13" s="359">
        <v>132000</v>
      </c>
      <c r="AF13" s="360"/>
      <c r="AG13" s="245">
        <v>132000</v>
      </c>
      <c r="AH13" s="192" t="s">
        <v>61</v>
      </c>
      <c r="AI13" s="361" t="s">
        <v>61</v>
      </c>
      <c r="AJ13" s="361"/>
      <c r="AK13" s="362"/>
      <c r="AL13" s="366">
        <v>0</v>
      </c>
      <c r="AM13" s="360"/>
      <c r="AN13" s="228">
        <v>0</v>
      </c>
      <c r="AO13" s="192" t="s">
        <v>61</v>
      </c>
      <c r="AP13" s="361" t="s">
        <v>61</v>
      </c>
      <c r="AQ13" s="361"/>
      <c r="AR13" s="361"/>
      <c r="AS13" s="366">
        <v>0</v>
      </c>
      <c r="AT13" s="360"/>
      <c r="AU13" s="238">
        <v>0</v>
      </c>
      <c r="AV13" s="238">
        <v>0</v>
      </c>
      <c r="AW13" s="361" t="s">
        <v>61</v>
      </c>
      <c r="AX13" s="361"/>
      <c r="AY13" s="362"/>
      <c r="AZ13" s="359">
        <f>BB13+BC13</f>
        <v>78929.58</v>
      </c>
      <c r="BA13" s="360"/>
      <c r="BB13" s="251">
        <v>78929.58</v>
      </c>
      <c r="BC13" s="108">
        <v>0</v>
      </c>
      <c r="BD13" s="361" t="s">
        <v>61</v>
      </c>
      <c r="BE13" s="361"/>
      <c r="BF13" s="362"/>
      <c r="BG13" s="359">
        <f>BI13+BJ13</f>
        <v>565883.97</v>
      </c>
      <c r="BH13" s="360"/>
      <c r="BI13" s="262">
        <v>516717.92</v>
      </c>
      <c r="BJ13" s="262">
        <v>49166.05</v>
      </c>
      <c r="BK13" s="361" t="s">
        <v>61</v>
      </c>
      <c r="BL13" s="361"/>
      <c r="BM13" s="362"/>
      <c r="BN13" s="359">
        <v>6200</v>
      </c>
      <c r="BO13" s="360"/>
      <c r="BP13" s="268">
        <v>6200</v>
      </c>
      <c r="BQ13" s="188" t="s">
        <v>61</v>
      </c>
      <c r="BR13" s="361" t="s">
        <v>61</v>
      </c>
      <c r="BS13" s="361"/>
      <c r="BT13" s="362"/>
      <c r="BU13" s="359">
        <v>149900</v>
      </c>
      <c r="BV13" s="360"/>
      <c r="BW13" s="217">
        <v>149900</v>
      </c>
      <c r="BX13" s="32">
        <v>0</v>
      </c>
      <c r="BY13" s="361" t="s">
        <v>61</v>
      </c>
      <c r="BZ13" s="361"/>
      <c r="CA13" s="362"/>
      <c r="CB13" s="359">
        <v>715727.07</v>
      </c>
      <c r="CC13" s="360"/>
      <c r="CD13" s="235">
        <v>715727.07</v>
      </c>
      <c r="CE13" s="188" t="s">
        <v>61</v>
      </c>
      <c r="CF13" s="361" t="s">
        <v>61</v>
      </c>
      <c r="CG13" s="361"/>
      <c r="CH13" s="362"/>
      <c r="CI13" s="359">
        <v>123842</v>
      </c>
      <c r="CJ13" s="360"/>
      <c r="CK13" s="274">
        <v>123842</v>
      </c>
      <c r="CL13" s="188" t="s">
        <v>61</v>
      </c>
      <c r="CM13" s="361" t="s">
        <v>61</v>
      </c>
      <c r="CN13" s="361"/>
      <c r="CO13" s="362"/>
      <c r="CP13" s="366">
        <v>0</v>
      </c>
      <c r="CQ13" s="360"/>
      <c r="CR13" s="223">
        <v>0</v>
      </c>
      <c r="CS13" s="223">
        <v>0</v>
      </c>
      <c r="CT13" s="361" t="s">
        <v>61</v>
      </c>
      <c r="CU13" s="361"/>
      <c r="CV13" s="362"/>
      <c r="CW13" s="359">
        <v>1127975.08</v>
      </c>
      <c r="CX13" s="360"/>
      <c r="CY13" s="243">
        <v>1127975.08</v>
      </c>
      <c r="CZ13" s="108">
        <v>0</v>
      </c>
      <c r="DA13" s="361" t="s">
        <v>61</v>
      </c>
      <c r="DB13" s="361"/>
      <c r="DC13" s="362"/>
      <c r="DD13" s="359">
        <v>369000</v>
      </c>
      <c r="DE13" s="360"/>
      <c r="DF13" s="248">
        <v>369000</v>
      </c>
      <c r="DG13" s="188" t="s">
        <v>61</v>
      </c>
      <c r="DH13" s="361" t="s">
        <v>61</v>
      </c>
      <c r="DI13" s="361"/>
      <c r="DJ13" s="362"/>
      <c r="DK13" s="366">
        <f>DM13+DN13</f>
        <v>2201534.86</v>
      </c>
      <c r="DL13" s="360"/>
      <c r="DM13" s="108">
        <v>2201534.86</v>
      </c>
      <c r="DN13" s="108">
        <v>0</v>
      </c>
      <c r="DO13" s="361" t="s">
        <v>61</v>
      </c>
      <c r="DP13" s="361"/>
      <c r="DQ13" s="362"/>
    </row>
    <row r="14" spans="1:121" ht="15">
      <c r="A14" s="1" t="s">
        <v>16</v>
      </c>
      <c r="B14" t="s">
        <v>26</v>
      </c>
      <c r="C14" s="366">
        <v>0</v>
      </c>
      <c r="D14" s="360"/>
      <c r="E14" s="212">
        <v>0</v>
      </c>
      <c r="F14" s="213">
        <v>0</v>
      </c>
      <c r="G14" s="361" t="s">
        <v>61</v>
      </c>
      <c r="H14" s="361"/>
      <c r="I14" s="362"/>
      <c r="J14" s="366">
        <v>0</v>
      </c>
      <c r="K14" s="360"/>
      <c r="L14" s="189">
        <v>0</v>
      </c>
      <c r="M14" s="189">
        <v>0</v>
      </c>
      <c r="N14" s="361" t="s">
        <v>61</v>
      </c>
      <c r="O14" s="361"/>
      <c r="P14" s="361"/>
      <c r="Q14" s="366">
        <v>0</v>
      </c>
      <c r="R14" s="360"/>
      <c r="S14" s="208">
        <v>0</v>
      </c>
      <c r="T14" s="188" t="s">
        <v>61</v>
      </c>
      <c r="U14" s="361" t="s">
        <v>61</v>
      </c>
      <c r="V14" s="361"/>
      <c r="W14" s="362"/>
      <c r="X14" s="366">
        <v>0</v>
      </c>
      <c r="Y14" s="360"/>
      <c r="Z14" s="108">
        <v>0</v>
      </c>
      <c r="AA14" s="108">
        <v>0</v>
      </c>
      <c r="AB14" s="361" t="s">
        <v>61</v>
      </c>
      <c r="AC14" s="361"/>
      <c r="AD14" s="362"/>
      <c r="AE14" s="366">
        <v>0</v>
      </c>
      <c r="AF14" s="360"/>
      <c r="AG14" s="108">
        <v>0</v>
      </c>
      <c r="AH14" s="188" t="s">
        <v>61</v>
      </c>
      <c r="AI14" s="361" t="s">
        <v>61</v>
      </c>
      <c r="AJ14" s="361"/>
      <c r="AK14" s="362"/>
      <c r="AL14" s="366">
        <v>0</v>
      </c>
      <c r="AM14" s="360"/>
      <c r="AN14" s="228">
        <v>0</v>
      </c>
      <c r="AO14" s="188" t="s">
        <v>61</v>
      </c>
      <c r="AP14" s="361" t="s">
        <v>61</v>
      </c>
      <c r="AQ14" s="361"/>
      <c r="AR14" s="361"/>
      <c r="AS14" s="366">
        <v>0</v>
      </c>
      <c r="AT14" s="360"/>
      <c r="AU14" s="238">
        <v>0</v>
      </c>
      <c r="AV14" s="238">
        <v>0</v>
      </c>
      <c r="AW14" s="361" t="s">
        <v>61</v>
      </c>
      <c r="AX14" s="361"/>
      <c r="AY14" s="362"/>
      <c r="AZ14" s="366">
        <v>1</v>
      </c>
      <c r="BA14" s="360"/>
      <c r="BB14" s="108">
        <v>1</v>
      </c>
      <c r="BC14" s="108">
        <v>0</v>
      </c>
      <c r="BD14" s="361" t="s">
        <v>61</v>
      </c>
      <c r="BE14" s="361"/>
      <c r="BF14" s="362"/>
      <c r="BG14" s="366">
        <v>0</v>
      </c>
      <c r="BH14" s="360"/>
      <c r="BI14" s="260">
        <v>0</v>
      </c>
      <c r="BJ14" s="260">
        <v>0</v>
      </c>
      <c r="BK14" s="361" t="s">
        <v>61</v>
      </c>
      <c r="BL14" s="361"/>
      <c r="BM14" s="362"/>
      <c r="BN14" s="366">
        <v>0</v>
      </c>
      <c r="BO14" s="360"/>
      <c r="BP14" s="265">
        <v>0</v>
      </c>
      <c r="BQ14" s="188" t="s">
        <v>61</v>
      </c>
      <c r="BR14" s="361" t="s">
        <v>61</v>
      </c>
      <c r="BS14" s="361"/>
      <c r="BT14" s="362"/>
      <c r="BU14" s="366">
        <v>0</v>
      </c>
      <c r="BV14" s="360"/>
      <c r="BW14" s="215">
        <v>0</v>
      </c>
      <c r="BX14" s="215">
        <v>0</v>
      </c>
      <c r="BY14" s="361" t="s">
        <v>61</v>
      </c>
      <c r="BZ14" s="361"/>
      <c r="CA14" s="362"/>
      <c r="CB14" s="366">
        <v>0</v>
      </c>
      <c r="CC14" s="360"/>
      <c r="CD14" s="233">
        <v>0</v>
      </c>
      <c r="CE14" s="188" t="s">
        <v>61</v>
      </c>
      <c r="CF14" s="361" t="s">
        <v>61</v>
      </c>
      <c r="CG14" s="361"/>
      <c r="CH14" s="362"/>
      <c r="CI14" s="366">
        <v>0</v>
      </c>
      <c r="CJ14" s="360"/>
      <c r="CK14" s="32">
        <v>0</v>
      </c>
      <c r="CL14" s="188" t="s">
        <v>61</v>
      </c>
      <c r="CM14" s="361" t="s">
        <v>61</v>
      </c>
      <c r="CN14" s="361"/>
      <c r="CO14" s="362"/>
      <c r="CP14" s="366">
        <v>0</v>
      </c>
      <c r="CQ14" s="360"/>
      <c r="CR14" s="223">
        <v>0</v>
      </c>
      <c r="CS14" s="223">
        <v>0</v>
      </c>
      <c r="CT14" s="361" t="s">
        <v>61</v>
      </c>
      <c r="CU14" s="361"/>
      <c r="CV14" s="362"/>
      <c r="CW14" s="366">
        <v>0</v>
      </c>
      <c r="CX14" s="360"/>
      <c r="CY14" s="108">
        <v>0</v>
      </c>
      <c r="CZ14" s="108">
        <v>0</v>
      </c>
      <c r="DA14" s="361" t="s">
        <v>61</v>
      </c>
      <c r="DB14" s="361"/>
      <c r="DC14" s="362"/>
      <c r="DD14" s="366">
        <v>0</v>
      </c>
      <c r="DE14" s="360"/>
      <c r="DF14" s="108">
        <v>0</v>
      </c>
      <c r="DG14" s="188" t="s">
        <v>61</v>
      </c>
      <c r="DH14" s="361" t="s">
        <v>61</v>
      </c>
      <c r="DI14" s="361"/>
      <c r="DJ14" s="362"/>
      <c r="DK14" s="366">
        <v>0</v>
      </c>
      <c r="DL14" s="360"/>
      <c r="DM14" s="108">
        <v>0</v>
      </c>
      <c r="DN14" s="108">
        <v>0</v>
      </c>
      <c r="DO14" s="361" t="s">
        <v>61</v>
      </c>
      <c r="DP14" s="361"/>
      <c r="DQ14" s="362"/>
    </row>
    <row r="15" spans="1:121" ht="15.75">
      <c r="A15" s="4" t="s">
        <v>17</v>
      </c>
      <c r="B15" t="s">
        <v>27</v>
      </c>
      <c r="C15" s="366">
        <v>0</v>
      </c>
      <c r="D15" s="360"/>
      <c r="E15" s="212">
        <v>0</v>
      </c>
      <c r="F15" s="213">
        <v>0</v>
      </c>
      <c r="G15" s="361" t="s">
        <v>61</v>
      </c>
      <c r="H15" s="361"/>
      <c r="I15" s="362"/>
      <c r="J15" s="366">
        <v>0</v>
      </c>
      <c r="K15" s="360"/>
      <c r="L15" s="189">
        <v>0</v>
      </c>
      <c r="M15" s="189">
        <v>0</v>
      </c>
      <c r="N15" s="361" t="s">
        <v>61</v>
      </c>
      <c r="O15" s="361"/>
      <c r="P15" s="361"/>
      <c r="Q15" s="366">
        <v>0</v>
      </c>
      <c r="R15" s="360"/>
      <c r="S15" s="208">
        <v>0</v>
      </c>
      <c r="T15" s="188" t="s">
        <v>61</v>
      </c>
      <c r="U15" s="361" t="s">
        <v>61</v>
      </c>
      <c r="V15" s="361"/>
      <c r="W15" s="362"/>
      <c r="X15" s="366">
        <v>0</v>
      </c>
      <c r="Y15" s="360"/>
      <c r="Z15" s="108">
        <v>0</v>
      </c>
      <c r="AA15" s="108">
        <v>0</v>
      </c>
      <c r="AB15" s="361" t="s">
        <v>61</v>
      </c>
      <c r="AC15" s="361"/>
      <c r="AD15" s="362"/>
      <c r="AE15" s="366">
        <v>0</v>
      </c>
      <c r="AF15" s="360"/>
      <c r="AG15" s="108">
        <v>0</v>
      </c>
      <c r="AH15" s="192" t="s">
        <v>61</v>
      </c>
      <c r="AI15" s="361" t="s">
        <v>61</v>
      </c>
      <c r="AJ15" s="361"/>
      <c r="AK15" s="362"/>
      <c r="AL15" s="366">
        <v>0</v>
      </c>
      <c r="AM15" s="360"/>
      <c r="AN15" s="228">
        <v>0</v>
      </c>
      <c r="AO15" s="192" t="s">
        <v>61</v>
      </c>
      <c r="AP15" s="361" t="s">
        <v>61</v>
      </c>
      <c r="AQ15" s="361"/>
      <c r="AR15" s="361"/>
      <c r="AS15" s="366">
        <v>0</v>
      </c>
      <c r="AT15" s="360"/>
      <c r="AU15" s="238">
        <v>0</v>
      </c>
      <c r="AV15" s="238">
        <v>0</v>
      </c>
      <c r="AW15" s="361" t="s">
        <v>61</v>
      </c>
      <c r="AX15" s="361"/>
      <c r="AY15" s="362"/>
      <c r="AZ15" s="359">
        <v>5250</v>
      </c>
      <c r="BA15" s="360"/>
      <c r="BB15" s="21">
        <v>5250</v>
      </c>
      <c r="BC15" s="108">
        <v>0</v>
      </c>
      <c r="BD15" s="361" t="s">
        <v>61</v>
      </c>
      <c r="BE15" s="361"/>
      <c r="BF15" s="362"/>
      <c r="BG15" s="366">
        <v>0</v>
      </c>
      <c r="BH15" s="360"/>
      <c r="BI15" s="260">
        <v>0</v>
      </c>
      <c r="BJ15" s="260">
        <v>0</v>
      </c>
      <c r="BK15" s="361" t="s">
        <v>61</v>
      </c>
      <c r="BL15" s="361"/>
      <c r="BM15" s="362"/>
      <c r="BN15" s="366">
        <v>0</v>
      </c>
      <c r="BO15" s="360"/>
      <c r="BP15" s="265">
        <v>0</v>
      </c>
      <c r="BQ15" s="188" t="s">
        <v>61</v>
      </c>
      <c r="BR15" s="361" t="s">
        <v>61</v>
      </c>
      <c r="BS15" s="361"/>
      <c r="BT15" s="362"/>
      <c r="BU15" s="366">
        <v>0</v>
      </c>
      <c r="BV15" s="360"/>
      <c r="BW15" s="215">
        <v>0</v>
      </c>
      <c r="BX15" s="215">
        <v>0</v>
      </c>
      <c r="BY15" s="361" t="s">
        <v>61</v>
      </c>
      <c r="BZ15" s="361"/>
      <c r="CA15" s="362"/>
      <c r="CB15" s="366">
        <v>0</v>
      </c>
      <c r="CC15" s="360"/>
      <c r="CD15" s="233">
        <v>0</v>
      </c>
      <c r="CE15" s="188" t="s">
        <v>61</v>
      </c>
      <c r="CF15" s="361" t="s">
        <v>61</v>
      </c>
      <c r="CG15" s="361"/>
      <c r="CH15" s="362"/>
      <c r="CI15" s="366">
        <v>0</v>
      </c>
      <c r="CJ15" s="360"/>
      <c r="CK15" s="32">
        <v>0</v>
      </c>
      <c r="CL15" s="188" t="s">
        <v>61</v>
      </c>
      <c r="CM15" s="361" t="s">
        <v>61</v>
      </c>
      <c r="CN15" s="361"/>
      <c r="CO15" s="362"/>
      <c r="CP15" s="366">
        <v>0</v>
      </c>
      <c r="CQ15" s="360"/>
      <c r="CR15" s="223">
        <v>0</v>
      </c>
      <c r="CS15" s="223">
        <v>0</v>
      </c>
      <c r="CT15" s="361" t="s">
        <v>61</v>
      </c>
      <c r="CU15" s="361"/>
      <c r="CV15" s="362"/>
      <c r="CW15" s="366">
        <v>0</v>
      </c>
      <c r="CX15" s="360"/>
      <c r="CY15" s="108">
        <v>0</v>
      </c>
      <c r="CZ15" s="108">
        <v>0</v>
      </c>
      <c r="DA15" s="361" t="s">
        <v>61</v>
      </c>
      <c r="DB15" s="361"/>
      <c r="DC15" s="362"/>
      <c r="DD15" s="366">
        <v>0</v>
      </c>
      <c r="DE15" s="360"/>
      <c r="DF15" s="108">
        <v>0</v>
      </c>
      <c r="DG15" s="188" t="s">
        <v>61</v>
      </c>
      <c r="DH15" s="361" t="s">
        <v>61</v>
      </c>
      <c r="DI15" s="361"/>
      <c r="DJ15" s="362"/>
      <c r="DK15" s="366">
        <v>0</v>
      </c>
      <c r="DL15" s="360"/>
      <c r="DM15" s="108">
        <v>0</v>
      </c>
      <c r="DN15" s="108">
        <v>0</v>
      </c>
      <c r="DO15" s="361" t="s">
        <v>61</v>
      </c>
      <c r="DP15" s="361"/>
      <c r="DQ15" s="362"/>
    </row>
    <row r="16" spans="1:121" ht="15.75">
      <c r="A16" s="4" t="s">
        <v>64</v>
      </c>
      <c r="B16" t="s">
        <v>60</v>
      </c>
      <c r="C16" s="186"/>
      <c r="D16" s="17"/>
      <c r="E16" s="17"/>
      <c r="F16" s="205"/>
      <c r="G16" s="17"/>
      <c r="H16" s="17"/>
      <c r="I16" s="19"/>
      <c r="J16" s="186"/>
      <c r="K16" s="17"/>
      <c r="L16" s="17"/>
      <c r="M16" s="17"/>
      <c r="N16" s="17"/>
      <c r="O16" s="17"/>
      <c r="P16" s="17"/>
      <c r="Q16" s="31"/>
      <c r="R16" s="32"/>
      <c r="S16" s="32"/>
      <c r="T16" s="188" t="s">
        <v>61</v>
      </c>
      <c r="U16" s="17"/>
      <c r="V16" s="17"/>
      <c r="W16" s="19"/>
      <c r="X16" s="107"/>
      <c r="Y16" s="108"/>
      <c r="Z16" s="108"/>
      <c r="AA16" s="108"/>
      <c r="AB16" s="17"/>
      <c r="AC16" s="17"/>
      <c r="AD16" s="19"/>
      <c r="AE16" s="107"/>
      <c r="AF16" s="108"/>
      <c r="AG16" s="108"/>
      <c r="AH16" s="188" t="s">
        <v>61</v>
      </c>
      <c r="AI16" s="17"/>
      <c r="AJ16" s="17"/>
      <c r="AK16" s="19"/>
      <c r="AL16" s="186"/>
      <c r="AM16" s="17"/>
      <c r="AN16" s="17"/>
      <c r="AO16" s="188" t="s">
        <v>61</v>
      </c>
      <c r="AP16" s="17"/>
      <c r="AQ16" s="17"/>
      <c r="AR16" s="17"/>
      <c r="AS16" s="107"/>
      <c r="AT16" s="108"/>
      <c r="AU16" s="108"/>
      <c r="AV16" s="108"/>
      <c r="AW16" s="17"/>
      <c r="AX16" s="17"/>
      <c r="AY16" s="19"/>
      <c r="AZ16" s="107"/>
      <c r="BA16" s="108"/>
      <c r="BB16" s="108"/>
      <c r="BC16" s="108"/>
      <c r="BD16" s="17"/>
      <c r="BE16" s="17"/>
      <c r="BF16" s="19"/>
      <c r="BG16" s="107"/>
      <c r="BH16" s="108"/>
      <c r="BI16" s="108"/>
      <c r="BJ16" s="108"/>
      <c r="BK16" s="17"/>
      <c r="BL16" s="17"/>
      <c r="BM16" s="19"/>
      <c r="BN16" s="31"/>
      <c r="BO16" s="32"/>
      <c r="BP16" s="32"/>
      <c r="BQ16" s="188" t="s">
        <v>61</v>
      </c>
      <c r="BR16" s="17"/>
      <c r="BS16" s="17"/>
      <c r="BT16" s="19"/>
      <c r="BU16" s="31"/>
      <c r="BV16" s="32"/>
      <c r="BW16" s="32"/>
      <c r="BX16" s="32"/>
      <c r="BY16" s="17"/>
      <c r="BZ16" s="17"/>
      <c r="CA16" s="19"/>
      <c r="CB16" s="31"/>
      <c r="CC16" s="32"/>
      <c r="CD16" s="32"/>
      <c r="CE16" s="188" t="s">
        <v>61</v>
      </c>
      <c r="CF16" s="17"/>
      <c r="CG16" s="17"/>
      <c r="CH16" s="19"/>
      <c r="CI16" s="31"/>
      <c r="CJ16" s="32"/>
      <c r="CK16" s="32"/>
      <c r="CL16" s="188" t="s">
        <v>61</v>
      </c>
      <c r="CM16" s="17"/>
      <c r="CN16" s="17"/>
      <c r="CO16" s="19"/>
      <c r="CP16" s="31"/>
      <c r="CQ16" s="32"/>
      <c r="CR16" s="32"/>
      <c r="CS16" s="32"/>
      <c r="CT16" s="17"/>
      <c r="CU16" s="17"/>
      <c r="CV16" s="19"/>
      <c r="CW16" s="107"/>
      <c r="CX16" s="108"/>
      <c r="CY16" s="108"/>
      <c r="CZ16" s="108"/>
      <c r="DA16" s="17"/>
      <c r="DB16" s="17"/>
      <c r="DC16" s="19"/>
      <c r="DD16" s="107"/>
      <c r="DE16" s="108"/>
      <c r="DF16" s="108"/>
      <c r="DG16" s="188" t="s">
        <v>61</v>
      </c>
      <c r="DH16" s="17"/>
      <c r="DI16" s="17"/>
      <c r="DJ16" s="19"/>
      <c r="DK16" s="107"/>
      <c r="DL16" s="108"/>
      <c r="DM16" s="108"/>
      <c r="DN16" s="108"/>
      <c r="DO16" s="17"/>
      <c r="DP16" s="17"/>
      <c r="DQ16" s="19"/>
    </row>
    <row r="17" spans="1:121" ht="15">
      <c r="A17" s="1" t="s">
        <v>65</v>
      </c>
      <c r="B17" s="14" t="s">
        <v>66</v>
      </c>
      <c r="C17" s="181"/>
      <c r="D17" s="181"/>
      <c r="E17" s="181"/>
      <c r="F17" s="181"/>
      <c r="G17" s="181"/>
      <c r="H17" s="181"/>
      <c r="I17" s="29"/>
      <c r="J17" s="181"/>
      <c r="K17" s="181"/>
      <c r="L17" s="181"/>
      <c r="M17" s="181"/>
      <c r="N17" s="181"/>
      <c r="O17" s="181"/>
      <c r="P17" s="181"/>
      <c r="Q17" s="28"/>
      <c r="R17" s="28"/>
      <c r="S17" s="28"/>
      <c r="T17" s="188" t="s">
        <v>61</v>
      </c>
      <c r="U17" s="28"/>
      <c r="V17" s="28"/>
      <c r="W17" s="29"/>
      <c r="X17" s="28"/>
      <c r="Y17" s="28"/>
      <c r="Z17" s="28"/>
      <c r="AA17" s="28"/>
      <c r="AB17" s="28"/>
      <c r="AC17" s="28"/>
      <c r="AD17" s="29"/>
      <c r="AE17" s="28"/>
      <c r="AF17" s="28"/>
      <c r="AG17" s="28"/>
      <c r="AH17" s="192" t="s">
        <v>61</v>
      </c>
      <c r="AI17" s="28"/>
      <c r="AJ17" s="28"/>
      <c r="AK17" s="29"/>
      <c r="AL17" s="28"/>
      <c r="AM17" s="28"/>
      <c r="AN17" s="28"/>
      <c r="AO17" s="192" t="s">
        <v>61</v>
      </c>
      <c r="AP17" s="28"/>
      <c r="AQ17" s="28"/>
      <c r="AR17" s="29"/>
      <c r="AS17" s="28"/>
      <c r="AT17" s="28"/>
      <c r="AU17" s="28"/>
      <c r="AV17" s="28"/>
      <c r="AW17" s="28"/>
      <c r="AX17" s="28"/>
      <c r="AY17" s="29"/>
      <c r="AZ17" s="28"/>
      <c r="BA17" s="28"/>
      <c r="BB17" s="28"/>
      <c r="BC17" s="28"/>
      <c r="BD17" s="28"/>
      <c r="BE17" s="28"/>
      <c r="BF17" s="29"/>
      <c r="BG17" s="28"/>
      <c r="BH17" s="28"/>
      <c r="BI17" s="28"/>
      <c r="BJ17" s="28"/>
      <c r="BK17" s="28"/>
      <c r="BL17" s="28"/>
      <c r="BM17" s="29"/>
      <c r="BN17" s="28"/>
      <c r="BO17" s="28"/>
      <c r="BP17" s="28"/>
      <c r="BQ17" s="188" t="s">
        <v>61</v>
      </c>
      <c r="BR17" s="28"/>
      <c r="BS17" s="28"/>
      <c r="BT17" s="29"/>
      <c r="BU17" s="28"/>
      <c r="BV17" s="28"/>
      <c r="BW17" s="28"/>
      <c r="BX17" s="28"/>
      <c r="BY17" s="28"/>
      <c r="BZ17" s="28"/>
      <c r="CA17" s="29"/>
      <c r="CB17" s="28"/>
      <c r="CC17" s="28"/>
      <c r="CD17" s="28"/>
      <c r="CE17" s="188" t="s">
        <v>61</v>
      </c>
      <c r="CF17" s="28"/>
      <c r="CG17" s="28"/>
      <c r="CH17" s="29"/>
      <c r="CI17" s="28"/>
      <c r="CJ17" s="28"/>
      <c r="CK17" s="28"/>
      <c r="CL17" s="188" t="s">
        <v>61</v>
      </c>
      <c r="CM17" s="28"/>
      <c r="CN17" s="28"/>
      <c r="CO17" s="29"/>
      <c r="CP17" s="28"/>
      <c r="CQ17" s="28"/>
      <c r="CR17" s="28"/>
      <c r="CS17" s="28"/>
      <c r="CT17" s="28"/>
      <c r="CU17" s="28"/>
      <c r="CV17" s="29"/>
      <c r="CW17" s="28"/>
      <c r="CX17" s="28"/>
      <c r="CY17" s="28"/>
      <c r="CZ17" s="28"/>
      <c r="DA17" s="28"/>
      <c r="DB17" s="28"/>
      <c r="DC17" s="29"/>
      <c r="DD17" s="28"/>
      <c r="DE17" s="28"/>
      <c r="DF17" s="28"/>
      <c r="DG17" s="188" t="s">
        <v>61</v>
      </c>
      <c r="DH17" s="28"/>
      <c r="DI17" s="28"/>
      <c r="DJ17" s="29"/>
      <c r="DK17" s="28"/>
      <c r="DL17" s="28"/>
      <c r="DM17" s="28"/>
      <c r="DN17" s="28"/>
      <c r="DO17" s="28"/>
      <c r="DP17" s="28"/>
      <c r="DQ17" s="29"/>
    </row>
    <row r="18" spans="1:115" ht="15">
      <c r="A18" s="9"/>
      <c r="C18" s="7"/>
      <c r="J18" s="7"/>
      <c r="Q18" s="7"/>
      <c r="X18" s="7"/>
      <c r="AE18" s="7"/>
      <c r="AL18" s="7"/>
      <c r="AS18" s="7"/>
      <c r="AZ18" s="7"/>
      <c r="BG18" s="7"/>
      <c r="BN18" s="7"/>
      <c r="BU18" s="7"/>
      <c r="CB18" s="7"/>
      <c r="CI18" s="7"/>
      <c r="CP18" s="7"/>
      <c r="CW18" s="7"/>
      <c r="DD18" s="7"/>
      <c r="DK18" s="7"/>
    </row>
    <row r="20" ht="15">
      <c r="A20" s="8"/>
    </row>
    <row r="21" spans="1:117" ht="15">
      <c r="A21" s="10"/>
      <c r="E21" s="8"/>
      <c r="L21" s="8"/>
      <c r="S21" s="8"/>
      <c r="Z21" s="8"/>
      <c r="AG21" s="8"/>
      <c r="AN21" s="8"/>
      <c r="AU21" s="8"/>
      <c r="BB21" s="8"/>
      <c r="BI21" s="8"/>
      <c r="BP21" s="8"/>
      <c r="BW21" s="8"/>
      <c r="CD21" s="8"/>
      <c r="CK21" s="8"/>
      <c r="CR21" s="8"/>
      <c r="CY21" s="8"/>
      <c r="DF21" s="8"/>
      <c r="DM21" s="8"/>
    </row>
    <row r="22" spans="3:117" ht="15">
      <c r="C22" s="320" t="s">
        <v>85</v>
      </c>
      <c r="D22" s="321"/>
      <c r="E22" s="321"/>
      <c r="F22" s="321"/>
      <c r="G22" s="321"/>
      <c r="H22" s="321"/>
      <c r="I22" s="322"/>
      <c r="L22" s="8"/>
      <c r="S22" s="8"/>
      <c r="Z22" s="8"/>
      <c r="AG22" s="8"/>
      <c r="AN22" s="8"/>
      <c r="AU22" s="8"/>
      <c r="BB22" s="8"/>
      <c r="BI22" s="8"/>
      <c r="BP22" s="8"/>
      <c r="BW22" s="8"/>
      <c r="CD22" s="8"/>
      <c r="CK22" s="8"/>
      <c r="CR22" s="8"/>
      <c r="CY22" s="8"/>
      <c r="DF22" s="8"/>
      <c r="DM22" s="8"/>
    </row>
    <row r="23" spans="3:117" ht="15">
      <c r="C23" s="114" t="s">
        <v>31</v>
      </c>
      <c r="D23" s="115" t="s">
        <v>30</v>
      </c>
      <c r="E23" s="115" t="s">
        <v>29</v>
      </c>
      <c r="F23" s="115" t="s">
        <v>28</v>
      </c>
      <c r="G23" s="116" t="s">
        <v>34</v>
      </c>
      <c r="H23" s="116" t="s">
        <v>32</v>
      </c>
      <c r="I23" s="117" t="s">
        <v>33</v>
      </c>
      <c r="J23" s="11"/>
      <c r="L23" s="8"/>
      <c r="Q23" s="11"/>
      <c r="S23" s="8"/>
      <c r="X23" s="11"/>
      <c r="Z23" s="8"/>
      <c r="AE23" s="11"/>
      <c r="AG23" s="8"/>
      <c r="AL23" s="11"/>
      <c r="AN23" s="8"/>
      <c r="AS23" s="11"/>
      <c r="AU23" s="8"/>
      <c r="AZ23" s="11"/>
      <c r="BB23" s="8"/>
      <c r="BG23" s="11"/>
      <c r="BI23" s="8"/>
      <c r="BN23" s="11"/>
      <c r="BP23" s="8"/>
      <c r="BU23" s="11"/>
      <c r="BW23" s="8"/>
      <c r="CB23" s="11"/>
      <c r="CD23" s="8"/>
      <c r="CI23" s="11"/>
      <c r="CK23" s="8"/>
      <c r="CP23" s="11"/>
      <c r="CR23" s="8"/>
      <c r="CW23" s="11"/>
      <c r="CY23" s="8"/>
      <c r="DD23" s="11"/>
      <c r="DF23" s="8"/>
      <c r="DK23" s="11"/>
      <c r="DM23" s="8"/>
    </row>
    <row r="24" spans="1:119" ht="15">
      <c r="A24" s="3" t="s">
        <v>18</v>
      </c>
      <c r="B24" t="s">
        <v>19</v>
      </c>
      <c r="C24" s="200">
        <f>C25+C26</f>
        <v>8098</v>
      </c>
      <c r="D24" s="192">
        <f>E24+F24</f>
        <v>650</v>
      </c>
      <c r="E24" s="192">
        <f>E25+E26</f>
        <v>575</v>
      </c>
      <c r="F24" s="192">
        <f>F25+F26</f>
        <v>75</v>
      </c>
      <c r="G24" s="188">
        <f>D24/C24</f>
        <v>0.08026673252654977</v>
      </c>
      <c r="H24" s="188"/>
      <c r="I24" s="201"/>
      <c r="J24" s="283" t="s">
        <v>97</v>
      </c>
      <c r="K24" s="279"/>
      <c r="L24" s="283"/>
      <c r="M24" s="283"/>
      <c r="N24" s="285"/>
      <c r="O24" s="16"/>
      <c r="P24" s="16"/>
      <c r="S24" s="7"/>
      <c r="T24" s="7"/>
      <c r="U24" s="7"/>
      <c r="X24" s="7"/>
      <c r="Z24" s="7"/>
      <c r="AA24" s="7"/>
      <c r="AB24" s="7"/>
      <c r="AE24" s="7"/>
      <c r="AG24" s="7"/>
      <c r="AH24" s="7"/>
      <c r="AI24" s="7"/>
      <c r="AL24" s="7"/>
      <c r="AN24" s="7"/>
      <c r="AO24" s="7"/>
      <c r="AP24" s="7"/>
      <c r="AS24" s="7"/>
      <c r="AU24" s="7"/>
      <c r="AV24" s="7"/>
      <c r="AW24" s="7"/>
      <c r="AZ24" s="7"/>
      <c r="BB24" s="7"/>
      <c r="BC24" s="7"/>
      <c r="BD24" s="7"/>
      <c r="BG24" s="7"/>
      <c r="BI24" s="7"/>
      <c r="BJ24" s="7"/>
      <c r="BK24" s="7"/>
      <c r="BN24" s="7"/>
      <c r="BP24" s="7"/>
      <c r="BQ24" s="7"/>
      <c r="BR24" s="7"/>
      <c r="BU24" s="7"/>
      <c r="BW24" s="7"/>
      <c r="BX24" s="7"/>
      <c r="BY24" s="7"/>
      <c r="CB24" s="7"/>
      <c r="CD24" s="7"/>
      <c r="CE24" s="7"/>
      <c r="CF24" s="7"/>
      <c r="CI24" s="7"/>
      <c r="CK24" s="7"/>
      <c r="CL24" s="7"/>
      <c r="CM24" s="7"/>
      <c r="CP24" s="7"/>
      <c r="CR24" s="7"/>
      <c r="CS24" s="7"/>
      <c r="CT24" s="7"/>
      <c r="CW24" s="7"/>
      <c r="CY24" s="7"/>
      <c r="CZ24" s="7"/>
      <c r="DA24" s="7"/>
      <c r="DD24" s="7"/>
      <c r="DF24" s="7"/>
      <c r="DG24" s="7"/>
      <c r="DH24" s="7"/>
      <c r="DK24" s="7"/>
      <c r="DM24" s="7"/>
      <c r="DN24" s="7"/>
      <c r="DO24" s="7"/>
    </row>
    <row r="25" spans="2:115" ht="15">
      <c r="B25" t="s">
        <v>20</v>
      </c>
      <c r="C25" s="280">
        <f>C4+Q4+X4+AE4+AL4+AZ4+BN4+BU4+CB4+CI4+CP4+CW4+DD4+DK4</f>
        <v>2757</v>
      </c>
      <c r="D25" s="281">
        <f>E25+F25</f>
        <v>127</v>
      </c>
      <c r="E25" s="281">
        <f>E4+S4+Z4+AG4+AN4+BB4+BP4+BW4+CD4+CK4+CR4+CY4+DF4</f>
        <v>68</v>
      </c>
      <c r="F25" s="281">
        <f>F4+T4+AA4+AH4+BC4+BQ4+BX4+CE4+CL4+CS4+CZ4+DG4+DN4</f>
        <v>59</v>
      </c>
      <c r="G25" s="282">
        <f>D25/C25</f>
        <v>0.0460645629307218</v>
      </c>
      <c r="H25" s="188"/>
      <c r="I25" s="201"/>
      <c r="J25" s="283" t="s">
        <v>97</v>
      </c>
      <c r="K25" s="279"/>
      <c r="L25" s="279"/>
      <c r="M25" s="279"/>
      <c r="N25" s="16"/>
      <c r="O25" s="16"/>
      <c r="P25" s="16"/>
      <c r="X25" s="7"/>
      <c r="AE25" s="7"/>
      <c r="AL25" s="7"/>
      <c r="AS25" s="7"/>
      <c r="AZ25" s="7"/>
      <c r="BG25" s="7"/>
      <c r="BN25" s="7"/>
      <c r="BU25" s="7"/>
      <c r="CB25" s="7"/>
      <c r="CI25" s="7"/>
      <c r="CP25" s="7"/>
      <c r="CW25" s="7"/>
      <c r="DD25" s="7"/>
      <c r="DK25" s="7"/>
    </row>
    <row r="26" spans="2:16" ht="15">
      <c r="B26" t="s">
        <v>21</v>
      </c>
      <c r="C26" s="280">
        <f>C5+Q5+X5+AE5+AL5+AZ5+BN5+BU5+CB5+CI5+CP5+CW5+DD5+DK5</f>
        <v>5341</v>
      </c>
      <c r="D26" s="284">
        <f>E26+F26</f>
        <v>523</v>
      </c>
      <c r="E26" s="284">
        <f>E5+S5+Z5+AG5+AN5+BB5+BP5+BW5+CD5+CK5+CR5+CY5+DF5+DM5</f>
        <v>507</v>
      </c>
      <c r="F26" s="281">
        <f>F5+AA5+BC5+BX5+CS5+CZ5+DN5</f>
        <v>16</v>
      </c>
      <c r="G26" s="282">
        <f>D26/C26</f>
        <v>0.09792173750234039</v>
      </c>
      <c r="H26" s="188"/>
      <c r="I26" s="201"/>
      <c r="J26" s="283" t="s">
        <v>97</v>
      </c>
      <c r="K26" s="279"/>
      <c r="L26" s="279"/>
      <c r="M26" s="279"/>
      <c r="N26" s="16"/>
      <c r="O26" s="16"/>
      <c r="P26" s="16"/>
    </row>
    <row r="27" spans="1:16" ht="15">
      <c r="A27" s="1" t="s">
        <v>8</v>
      </c>
      <c r="B27" t="s">
        <v>35</v>
      </c>
      <c r="C27" s="280">
        <f>D25</f>
        <v>127</v>
      </c>
      <c r="D27" s="281">
        <f>E27+F27</f>
        <v>100</v>
      </c>
      <c r="E27" s="293">
        <f>E6+S6+Z6+AG6+AN6+BB6+BP6+BW6+CD6+CK6+CR6+CY6+DF6</f>
        <v>47</v>
      </c>
      <c r="F27" s="281">
        <f>F6+T6+AA6+AH6+BC6+BQ6+BX6+CE6+CL6+CS6+CZ6+DG6+DN6</f>
        <v>53</v>
      </c>
      <c r="G27" s="282">
        <f>D27/C27</f>
        <v>0.7874015748031497</v>
      </c>
      <c r="H27" s="188"/>
      <c r="I27" s="201"/>
      <c r="J27" s="283" t="s">
        <v>97</v>
      </c>
      <c r="K27" s="279"/>
      <c r="L27" s="283"/>
      <c r="M27" s="283"/>
      <c r="N27" s="16"/>
      <c r="O27" s="16"/>
      <c r="P27" s="16"/>
    </row>
    <row r="28" spans="1:16" ht="15">
      <c r="A28" s="1" t="s">
        <v>9</v>
      </c>
      <c r="B28" t="s">
        <v>36</v>
      </c>
      <c r="C28" s="364">
        <f>E28+F28</f>
        <v>2261458.77</v>
      </c>
      <c r="D28" s="365"/>
      <c r="E28" s="309">
        <f>E7+S7+Z7+AG7+AN7+BB7+BP7+BW7+CD7+CK7+CR7+CY7+DF7</f>
        <v>1887018.8199999998</v>
      </c>
      <c r="F28" s="307">
        <f>F7+T7+AA7+AH7+BC7+BQ7+BX7+CE7+CL7+CS7+CZ7+DG7+DN7</f>
        <v>374439.95</v>
      </c>
      <c r="G28" s="361" t="s">
        <v>61</v>
      </c>
      <c r="H28" s="361"/>
      <c r="I28" s="362"/>
      <c r="J28" s="283" t="s">
        <v>97</v>
      </c>
      <c r="K28" s="279"/>
      <c r="L28" s="279"/>
      <c r="M28" s="279"/>
      <c r="N28" s="16"/>
      <c r="O28" s="16"/>
      <c r="P28" s="16"/>
    </row>
    <row r="29" spans="1:9" ht="15">
      <c r="A29" s="1" t="s">
        <v>10</v>
      </c>
      <c r="B29" t="s">
        <v>37</v>
      </c>
      <c r="C29" s="221">
        <f>D26+J8+AS8+BG8</f>
        <v>602</v>
      </c>
      <c r="D29" s="218">
        <f>E29+F29</f>
        <v>405</v>
      </c>
      <c r="E29" s="218">
        <f>E8+L8+S8+Z8+AG8+AN8+AU8+BB8+BI8+BP8+BW8+CD8+CK8+CR8+CY8+DF8+DM8</f>
        <v>388</v>
      </c>
      <c r="F29" s="21">
        <f>F8+M8+AA8+AV8+BC8+BJ8+BX8+CS8+CZ8</f>
        <v>17</v>
      </c>
      <c r="G29" s="17">
        <f>D29/C29</f>
        <v>0.6727574750830565</v>
      </c>
      <c r="H29" s="17"/>
      <c r="I29" s="19"/>
    </row>
    <row r="30" spans="1:9" ht="15">
      <c r="A30" s="1" t="s">
        <v>11</v>
      </c>
      <c r="B30" t="s">
        <v>38</v>
      </c>
      <c r="C30" s="359">
        <f aca="true" t="shared" si="0" ref="C30:C36">E30+F30</f>
        <v>96262999.08</v>
      </c>
      <c r="D30" s="360"/>
      <c r="E30" s="278">
        <f>E9+L9+S9+Z9+AG9+AN9+AU9+BB9+BI9+BP9+BW9+CD9+CK9+CR9+CY9+DF9+DM9</f>
        <v>95514208.59</v>
      </c>
      <c r="F30" s="291">
        <f>F9+M9+AA9+AV9+BC9+BJ9+BX9+CS9+CZ9</f>
        <v>748790.49</v>
      </c>
      <c r="G30" s="361" t="s">
        <v>61</v>
      </c>
      <c r="H30" s="361"/>
      <c r="I30" s="362"/>
    </row>
    <row r="31" spans="1:9" ht="15">
      <c r="A31" s="1" t="s">
        <v>12</v>
      </c>
      <c r="B31" t="s">
        <v>22</v>
      </c>
      <c r="C31" s="363">
        <f t="shared" si="0"/>
        <v>4</v>
      </c>
      <c r="D31" s="360"/>
      <c r="E31" s="21">
        <f>E10+L10+S10+Z10+AG10+AN10+AU10+BB10+BI10+BP10+BW10+CD10+CK10+CR10+CY10+DF10</f>
        <v>4</v>
      </c>
      <c r="F31" s="21">
        <f>F10+M10+AA10+AV10+BC10+BJ10+BX10+CS10+CZ10</f>
        <v>0</v>
      </c>
      <c r="G31" s="361" t="s">
        <v>61</v>
      </c>
      <c r="H31" s="361"/>
      <c r="I31" s="362"/>
    </row>
    <row r="32" spans="1:9" ht="15">
      <c r="A32" s="1" t="s">
        <v>13</v>
      </c>
      <c r="B32" t="s">
        <v>23</v>
      </c>
      <c r="C32" s="359">
        <f t="shared" si="0"/>
        <v>138231.82</v>
      </c>
      <c r="D32" s="360"/>
      <c r="E32" s="278">
        <f>E11+L11+S11+Z11+AG11+AN11+AU11+BB11+BI11+BP11+BW11+CD11+CK11+CR11+CY11+DF11</f>
        <v>138231.82</v>
      </c>
      <c r="F32" s="21">
        <v>0</v>
      </c>
      <c r="G32" s="361" t="s">
        <v>61</v>
      </c>
      <c r="H32" s="361"/>
      <c r="I32" s="362"/>
    </row>
    <row r="33" spans="1:9" ht="15">
      <c r="A33" s="1" t="s">
        <v>14</v>
      </c>
      <c r="B33" t="s">
        <v>24</v>
      </c>
      <c r="C33" s="359">
        <f t="shared" si="0"/>
        <v>124</v>
      </c>
      <c r="D33" s="360"/>
      <c r="E33" s="21">
        <f>E12+L12+S12+Z12+AG12+AN12+AU12+BB12+BI12+BP12+BW12+CD12+CK12+CR12+CY12+DF12+DM12</f>
        <v>123</v>
      </c>
      <c r="F33" s="286">
        <f>F12+M12+AA12+AV12+BC12+BJ12+BX12+CS12+CZ12</f>
        <v>1</v>
      </c>
      <c r="G33" s="361" t="s">
        <v>61</v>
      </c>
      <c r="H33" s="361"/>
      <c r="I33" s="362"/>
    </row>
    <row r="34" spans="1:9" ht="15">
      <c r="A34" s="1" t="s">
        <v>15</v>
      </c>
      <c r="B34" t="s">
        <v>25</v>
      </c>
      <c r="C34" s="359">
        <f t="shared" si="0"/>
        <v>5857663.01</v>
      </c>
      <c r="D34" s="360"/>
      <c r="E34" s="278">
        <f>E13+L13+S13+Z13+AG13+AN13+AU13+BB13+BI13+BP13+BW13+CD13+CK13+CR13+CY13+DF13+DM13</f>
        <v>5808496.96</v>
      </c>
      <c r="F34" s="21">
        <f>F13+M13+AA13+AV13+BC13+BJ13+BX13+CS13+CZ13</f>
        <v>49166.05</v>
      </c>
      <c r="G34" s="361" t="s">
        <v>61</v>
      </c>
      <c r="H34" s="361"/>
      <c r="I34" s="362"/>
    </row>
    <row r="35" spans="1:9" ht="15">
      <c r="A35" s="1" t="s">
        <v>16</v>
      </c>
      <c r="B35" t="s">
        <v>26</v>
      </c>
      <c r="C35" s="363">
        <f t="shared" si="0"/>
        <v>1</v>
      </c>
      <c r="D35" s="360"/>
      <c r="E35" s="21">
        <f>E14+L14+S14+Z14+AG14+AN14+AU14+BB14+BI14+BP14+BW14+CD14+CK14+CR14+CY14+DF14</f>
        <v>1</v>
      </c>
      <c r="F35" s="21">
        <v>0</v>
      </c>
      <c r="G35" s="361" t="s">
        <v>61</v>
      </c>
      <c r="H35" s="361"/>
      <c r="I35" s="362"/>
    </row>
    <row r="36" spans="1:9" ht="15.75">
      <c r="A36" s="4" t="s">
        <v>17</v>
      </c>
      <c r="B36" t="s">
        <v>27</v>
      </c>
      <c r="C36" s="383">
        <f t="shared" si="0"/>
        <v>5250</v>
      </c>
      <c r="D36" s="384"/>
      <c r="E36" s="310">
        <f>E15+L15+S15+Z15+AG15+AN15+AU15+BB15+BI15+BP15+BW15+CD15+CK15+CR15+CY15+DF15</f>
        <v>5250</v>
      </c>
      <c r="F36" s="21">
        <v>0</v>
      </c>
      <c r="G36" s="361" t="s">
        <v>61</v>
      </c>
      <c r="H36" s="361"/>
      <c r="I36" s="362"/>
    </row>
    <row r="37" spans="1:9" ht="15.75">
      <c r="A37" s="4" t="s">
        <v>64</v>
      </c>
      <c r="B37" t="s">
        <v>60</v>
      </c>
      <c r="C37" s="100"/>
      <c r="D37" s="101"/>
      <c r="E37" s="101"/>
      <c r="F37" s="21"/>
      <c r="G37" s="17"/>
      <c r="H37" s="17"/>
      <c r="I37" s="19"/>
    </row>
    <row r="38" spans="1:9" ht="15">
      <c r="A38" s="1" t="s">
        <v>65</v>
      </c>
      <c r="B38" s="14" t="s">
        <v>66</v>
      </c>
      <c r="C38" s="28"/>
      <c r="D38" s="28"/>
      <c r="E38" s="28"/>
      <c r="F38" s="28"/>
      <c r="G38" s="28"/>
      <c r="H38" s="28"/>
      <c r="I38" s="29"/>
    </row>
    <row r="43" spans="3:9" ht="15">
      <c r="C43" s="320" t="s">
        <v>85</v>
      </c>
      <c r="D43" s="321"/>
      <c r="E43" s="321"/>
      <c r="F43" s="321"/>
      <c r="G43" s="321"/>
      <c r="H43" s="321"/>
      <c r="I43" s="322"/>
    </row>
    <row r="44" spans="3:9" ht="15">
      <c r="C44" s="114" t="s">
        <v>31</v>
      </c>
      <c r="D44" s="115" t="s">
        <v>30</v>
      </c>
      <c r="E44" s="115" t="s">
        <v>29</v>
      </c>
      <c r="F44" s="115" t="s">
        <v>28</v>
      </c>
      <c r="G44" s="116" t="s">
        <v>34</v>
      </c>
      <c r="H44" s="116" t="s">
        <v>32</v>
      </c>
      <c r="I44" s="117" t="s">
        <v>33</v>
      </c>
    </row>
    <row r="45" spans="2:13" ht="15">
      <c r="B45" t="s">
        <v>19</v>
      </c>
      <c r="C45" s="200"/>
      <c r="D45" s="192">
        <f>E45+F45</f>
        <v>739</v>
      </c>
      <c r="E45" s="192">
        <f>E46+E47</f>
        <v>656</v>
      </c>
      <c r="F45" s="192">
        <f>F46+F47</f>
        <v>83</v>
      </c>
      <c r="G45" s="188"/>
      <c r="H45" s="188"/>
      <c r="I45" s="201"/>
      <c r="J45" s="283" t="s">
        <v>96</v>
      </c>
      <c r="K45" s="279"/>
      <c r="L45" s="285"/>
      <c r="M45" s="285"/>
    </row>
    <row r="46" spans="2:13" ht="15">
      <c r="B46" t="s">
        <v>20</v>
      </c>
      <c r="C46" s="280"/>
      <c r="D46" s="281">
        <f>E46+F46</f>
        <v>137</v>
      </c>
      <c r="E46" s="281">
        <f>E25+S25+Z25+AG25+AN25+BB25+BP25+BW25+CD25+CK25+CR25+CY25+DF25+AU4+BI4</f>
        <v>77</v>
      </c>
      <c r="F46" s="281">
        <f>F25+T25+AA25+AH25+BC25+BQ25+BX25+CE25+CL25+CS25+CZ25+DG25+AV4+BJ4</f>
        <v>60</v>
      </c>
      <c r="G46" s="282"/>
      <c r="H46" s="188"/>
      <c r="I46" s="201"/>
      <c r="J46" s="283" t="s">
        <v>96</v>
      </c>
      <c r="K46" s="279"/>
      <c r="L46" s="16"/>
      <c r="M46" s="16"/>
    </row>
    <row r="47" spans="2:13" ht="15">
      <c r="B47" t="s">
        <v>21</v>
      </c>
      <c r="C47" s="301"/>
      <c r="D47" s="302">
        <f>E47+F47</f>
        <v>602</v>
      </c>
      <c r="E47" s="302">
        <f>E26+S26+Z26+AG26+AN26+BB26+BP26+BW26+CD26+CK26+CR26+CY26+DF26+L5+AU5+BI5</f>
        <v>579</v>
      </c>
      <c r="F47" s="303">
        <f>F26+AA26+BC26+BX26+CS26+CZ26+M5+AV5+BJ5</f>
        <v>23</v>
      </c>
      <c r="G47" s="304"/>
      <c r="H47" s="18"/>
      <c r="I47" s="305"/>
      <c r="J47" s="285"/>
      <c r="K47" s="16"/>
      <c r="L47" s="16"/>
      <c r="M47" s="16"/>
    </row>
    <row r="48" spans="2:13" ht="15">
      <c r="B48" t="s">
        <v>35</v>
      </c>
      <c r="C48" s="280">
        <f>D46</f>
        <v>137</v>
      </c>
      <c r="D48" s="281">
        <f>E48+F48</f>
        <v>110</v>
      </c>
      <c r="E48" s="293">
        <f>E27+S27+Z27+AG27+AN27+BB27+BP27+BW27+CD27+CK27+CR27+CY27+DF27+AU6+BI6</f>
        <v>56</v>
      </c>
      <c r="F48" s="281">
        <f>F27+T27+AA27+AH27+BC27+BQ27+BX27+CE27+CL27+CS27+CZ27+DG27+AV6+BJ6</f>
        <v>54</v>
      </c>
      <c r="G48" s="282">
        <f>D48/C48</f>
        <v>0.8029197080291971</v>
      </c>
      <c r="H48" s="188"/>
      <c r="I48" s="201"/>
      <c r="J48" s="283" t="s">
        <v>96</v>
      </c>
      <c r="K48" s="279"/>
      <c r="L48" s="285"/>
      <c r="M48" s="285"/>
    </row>
    <row r="49" spans="2:13" ht="15">
      <c r="B49" t="s">
        <v>36</v>
      </c>
      <c r="C49" s="364">
        <f>E49+F49</f>
        <v>2261458.77</v>
      </c>
      <c r="D49" s="365"/>
      <c r="E49" s="306">
        <f>E28+S28+Z28+AG28+AN28+BB28+BP28+BW28+CD28+CK28+CR28+CY28+DF28+AU7+BI7</f>
        <v>1887018.8199999998</v>
      </c>
      <c r="F49" s="294">
        <f>F28+T28+AA28+AH28+BC28+BQ28+BX28+CE28+CL28+CS28+CZ28+DG28+AV7+BJ7</f>
        <v>374439.95</v>
      </c>
      <c r="G49" s="361" t="s">
        <v>61</v>
      </c>
      <c r="H49" s="361"/>
      <c r="I49" s="362"/>
      <c r="J49" s="283" t="s">
        <v>96</v>
      </c>
      <c r="K49" s="279"/>
      <c r="L49" s="16"/>
      <c r="M49" s="16"/>
    </row>
    <row r="50" spans="2:9" ht="15">
      <c r="B50" t="s">
        <v>37</v>
      </c>
      <c r="C50" s="221">
        <f>D47+J29+AS29+BG29</f>
        <v>602</v>
      </c>
      <c r="D50" s="218">
        <f>E50+F50</f>
        <v>405</v>
      </c>
      <c r="E50" s="218">
        <f aca="true" t="shared" si="1" ref="E50:E55">E29+L29+S29+Z29+AG29+AN29+AU29+BB29+BI29+BP29+BW29+CD29+CK29+CR29+CY29+DF29</f>
        <v>388</v>
      </c>
      <c r="F50" s="21">
        <f>F29+M29+AA29+AV29+BC29+BJ29+BX29+CS29+CZ29</f>
        <v>17</v>
      </c>
      <c r="G50" s="17">
        <f>D50/C50</f>
        <v>0.6727574750830565</v>
      </c>
      <c r="H50" s="17"/>
      <c r="I50" s="19"/>
    </row>
    <row r="51" spans="2:9" ht="15">
      <c r="B51" t="s">
        <v>38</v>
      </c>
      <c r="C51" s="359">
        <f aca="true" t="shared" si="2" ref="C51:C57">E51+F51</f>
        <v>96262999.08</v>
      </c>
      <c r="D51" s="360"/>
      <c r="E51" s="291">
        <f t="shared" si="1"/>
        <v>95514208.59</v>
      </c>
      <c r="F51" s="308">
        <f>F30+M30+AA30+AV30+BC30+BJ30+BX30+CS30+CZ30</f>
        <v>748790.49</v>
      </c>
      <c r="G51" s="361" t="s">
        <v>61</v>
      </c>
      <c r="H51" s="361"/>
      <c r="I51" s="362"/>
    </row>
    <row r="52" spans="2:9" ht="15">
      <c r="B52" t="s">
        <v>22</v>
      </c>
      <c r="C52" s="363">
        <f t="shared" si="2"/>
        <v>4</v>
      </c>
      <c r="D52" s="360"/>
      <c r="E52" s="21">
        <f t="shared" si="1"/>
        <v>4</v>
      </c>
      <c r="F52" s="21">
        <f>F31+M31+AA31+AV31+BC31+BJ31+BX31+CS31+CZ31</f>
        <v>0</v>
      </c>
      <c r="G52" s="361" t="s">
        <v>61</v>
      </c>
      <c r="H52" s="361"/>
      <c r="I52" s="362"/>
    </row>
    <row r="53" spans="2:9" ht="15">
      <c r="B53" t="s">
        <v>23</v>
      </c>
      <c r="C53" s="359">
        <f t="shared" si="2"/>
        <v>138231.82</v>
      </c>
      <c r="D53" s="360"/>
      <c r="E53" s="291">
        <f t="shared" si="1"/>
        <v>138231.82</v>
      </c>
      <c r="F53" s="21">
        <v>0</v>
      </c>
      <c r="G53" s="361" t="s">
        <v>61</v>
      </c>
      <c r="H53" s="361"/>
      <c r="I53" s="362"/>
    </row>
    <row r="54" spans="2:9" ht="15">
      <c r="B54" t="s">
        <v>24</v>
      </c>
      <c r="C54" s="359">
        <f t="shared" si="2"/>
        <v>124</v>
      </c>
      <c r="D54" s="360"/>
      <c r="E54" s="21">
        <f t="shared" si="1"/>
        <v>123</v>
      </c>
      <c r="F54" s="286">
        <f>F33+M33+AA33+AV33+BC33+BJ33+BX33+CS33+CZ33</f>
        <v>1</v>
      </c>
      <c r="G54" s="361" t="s">
        <v>61</v>
      </c>
      <c r="H54" s="361"/>
      <c r="I54" s="362"/>
    </row>
    <row r="55" spans="2:9" ht="15">
      <c r="B55" t="s">
        <v>25</v>
      </c>
      <c r="C55" s="359">
        <f t="shared" si="2"/>
        <v>5857663.01</v>
      </c>
      <c r="D55" s="360"/>
      <c r="E55" s="291">
        <f t="shared" si="1"/>
        <v>5808496.96</v>
      </c>
      <c r="F55" s="308">
        <f>F34+M34+AA34+AV34+BC34+BJ34+BX34+CS34+CZ34</f>
        <v>49166.05</v>
      </c>
      <c r="G55" s="361" t="s">
        <v>61</v>
      </c>
      <c r="H55" s="361"/>
      <c r="I55" s="362"/>
    </row>
    <row r="56" spans="2:9" ht="15">
      <c r="B56" t="s">
        <v>26</v>
      </c>
      <c r="C56" s="363">
        <f t="shared" si="2"/>
        <v>1</v>
      </c>
      <c r="D56" s="360"/>
      <c r="E56" s="21">
        <f>E35+L35+S35+Z35+AG35+AN35+AU35+BB35+BI35+BP35+BW35+CD35+CK35+CR35+CY35+DF35</f>
        <v>1</v>
      </c>
      <c r="F56" s="21">
        <v>0</v>
      </c>
      <c r="G56" s="361" t="s">
        <v>61</v>
      </c>
      <c r="H56" s="361"/>
      <c r="I56" s="362"/>
    </row>
    <row r="57" spans="2:9" ht="15">
      <c r="B57" t="s">
        <v>27</v>
      </c>
      <c r="C57" s="363">
        <f t="shared" si="2"/>
        <v>5250</v>
      </c>
      <c r="D57" s="360"/>
      <c r="E57" s="21">
        <f>E36+L36+S36+Z36+AG36+AN36+AU36+BB36+BI36+BP36+BW36+CD36+CK36+CR36+CY36+DF36</f>
        <v>5250</v>
      </c>
      <c r="F57" s="21">
        <v>0</v>
      </c>
      <c r="G57" s="361" t="s">
        <v>61</v>
      </c>
      <c r="H57" s="361"/>
      <c r="I57" s="362"/>
    </row>
    <row r="58" spans="2:9" ht="15">
      <c r="B58" t="s">
        <v>60</v>
      </c>
      <c r="C58" s="289"/>
      <c r="D58" s="290"/>
      <c r="E58" s="290"/>
      <c r="F58" s="21"/>
      <c r="G58" s="17"/>
      <c r="H58" s="17"/>
      <c r="I58" s="19"/>
    </row>
    <row r="59" spans="2:9" ht="15">
      <c r="B59" s="14" t="s">
        <v>66</v>
      </c>
      <c r="C59" s="28"/>
      <c r="D59" s="28"/>
      <c r="E59" s="28"/>
      <c r="F59" s="28"/>
      <c r="G59" s="28"/>
      <c r="H59" s="28"/>
      <c r="I59" s="292"/>
    </row>
  </sheetData>
  <sheetProtection/>
  <mergeCells count="323">
    <mergeCell ref="DD11:DE11"/>
    <mergeCell ref="CW14:CX14"/>
    <mergeCell ref="DD12:DE12"/>
    <mergeCell ref="DD14:DE14"/>
    <mergeCell ref="DK10:DL10"/>
    <mergeCell ref="DK12:DL12"/>
    <mergeCell ref="DK14:DL14"/>
    <mergeCell ref="CB10:CC10"/>
    <mergeCell ref="CB12:CC12"/>
    <mergeCell ref="CB14:CC14"/>
    <mergeCell ref="CI10:CJ10"/>
    <mergeCell ref="CI12:CJ12"/>
    <mergeCell ref="CI14:CJ14"/>
    <mergeCell ref="CP10:CQ10"/>
    <mergeCell ref="CP12:CQ12"/>
    <mergeCell ref="CP14:CQ14"/>
    <mergeCell ref="DH10:DJ10"/>
    <mergeCell ref="DD13:DE13"/>
    <mergeCell ref="DH11:DJ11"/>
    <mergeCell ref="DH12:DJ12"/>
    <mergeCell ref="CW13:CX13"/>
    <mergeCell ref="DA13:DC13"/>
    <mergeCell ref="DA14:DC14"/>
    <mergeCell ref="CT14:CV14"/>
    <mergeCell ref="AL15:AM15"/>
    <mergeCell ref="AS10:AT10"/>
    <mergeCell ref="AS12:AT12"/>
    <mergeCell ref="AS14:AT14"/>
    <mergeCell ref="AZ10:BA10"/>
    <mergeCell ref="AZ12:BA12"/>
    <mergeCell ref="AZ14:BA14"/>
    <mergeCell ref="BG10:BH10"/>
    <mergeCell ref="BG12:BH12"/>
    <mergeCell ref="BG14:BH14"/>
    <mergeCell ref="AS13:AT13"/>
    <mergeCell ref="AW13:AY13"/>
    <mergeCell ref="AW14:AY14"/>
    <mergeCell ref="AS15:AT15"/>
    <mergeCell ref="AW15:AY15"/>
    <mergeCell ref="X12:Y12"/>
    <mergeCell ref="X14:Y14"/>
    <mergeCell ref="AE10:AF10"/>
    <mergeCell ref="AE12:AF12"/>
    <mergeCell ref="AE14:AF14"/>
    <mergeCell ref="AL9:AM9"/>
    <mergeCell ref="AL10:AM10"/>
    <mergeCell ref="AL11:AM11"/>
    <mergeCell ref="AL12:AM12"/>
    <mergeCell ref="AL13:AM13"/>
    <mergeCell ref="AL14:AM14"/>
    <mergeCell ref="J14:K14"/>
    <mergeCell ref="J15:K15"/>
    <mergeCell ref="J9:K9"/>
    <mergeCell ref="C9:D9"/>
    <mergeCell ref="C10:D10"/>
    <mergeCell ref="C11:D11"/>
    <mergeCell ref="C12:D12"/>
    <mergeCell ref="C13:D13"/>
    <mergeCell ref="C14:D14"/>
    <mergeCell ref="C15:D15"/>
    <mergeCell ref="G15:I15"/>
    <mergeCell ref="G10:I10"/>
    <mergeCell ref="G11:I11"/>
    <mergeCell ref="G12:I12"/>
    <mergeCell ref="G13:I13"/>
    <mergeCell ref="G14:I14"/>
    <mergeCell ref="J10:K10"/>
    <mergeCell ref="J11:K11"/>
    <mergeCell ref="J12:K12"/>
    <mergeCell ref="C34:D34"/>
    <mergeCell ref="G34:I34"/>
    <mergeCell ref="G35:I35"/>
    <mergeCell ref="C36:D36"/>
    <mergeCell ref="G36:I36"/>
    <mergeCell ref="C22:I22"/>
    <mergeCell ref="C28:D28"/>
    <mergeCell ref="G28:I28"/>
    <mergeCell ref="C30:D30"/>
    <mergeCell ref="G30:I30"/>
    <mergeCell ref="G31:I31"/>
    <mergeCell ref="C32:D32"/>
    <mergeCell ref="G32:I32"/>
    <mergeCell ref="G33:I33"/>
    <mergeCell ref="C31:D31"/>
    <mergeCell ref="C33:D33"/>
    <mergeCell ref="C35:D35"/>
    <mergeCell ref="CP15:CQ15"/>
    <mergeCell ref="CM10:CO10"/>
    <mergeCell ref="CI11:CJ11"/>
    <mergeCell ref="CM11:CO11"/>
    <mergeCell ref="CM12:CO12"/>
    <mergeCell ref="CI13:CJ13"/>
    <mergeCell ref="CM13:CO13"/>
    <mergeCell ref="CI1:CO1"/>
    <mergeCell ref="CP1:CV1"/>
    <mergeCell ref="CP7:CQ7"/>
    <mergeCell ref="CT7:CV7"/>
    <mergeCell ref="CP9:CQ9"/>
    <mergeCell ref="CT9:CV9"/>
    <mergeCell ref="CT10:CV10"/>
    <mergeCell ref="CP11:CQ11"/>
    <mergeCell ref="CT11:CV11"/>
    <mergeCell ref="CT12:CV12"/>
    <mergeCell ref="CI7:CJ7"/>
    <mergeCell ref="CM7:CO7"/>
    <mergeCell ref="CI9:CJ9"/>
    <mergeCell ref="CM9:CO9"/>
    <mergeCell ref="BY15:CA15"/>
    <mergeCell ref="CB1:CH1"/>
    <mergeCell ref="CB7:CC7"/>
    <mergeCell ref="CF7:CH7"/>
    <mergeCell ref="CB9:CC9"/>
    <mergeCell ref="CF9:CH9"/>
    <mergeCell ref="CF10:CH10"/>
    <mergeCell ref="CB11:CC11"/>
    <mergeCell ref="CF11:CH11"/>
    <mergeCell ref="CF12:CH12"/>
    <mergeCell ref="CB13:CC13"/>
    <mergeCell ref="CF13:CH13"/>
    <mergeCell ref="CF14:CH14"/>
    <mergeCell ref="CB15:CC15"/>
    <mergeCell ref="CF15:CH15"/>
    <mergeCell ref="BU1:CA1"/>
    <mergeCell ref="BU7:BV7"/>
    <mergeCell ref="BY7:CA7"/>
    <mergeCell ref="BU9:BV9"/>
    <mergeCell ref="BY9:CA9"/>
    <mergeCell ref="BR10:BT10"/>
    <mergeCell ref="BN11:BO11"/>
    <mergeCell ref="BR11:BT11"/>
    <mergeCell ref="BR12:BT12"/>
    <mergeCell ref="BN13:BO13"/>
    <mergeCell ref="BR13:BT13"/>
    <mergeCell ref="BY10:CA10"/>
    <mergeCell ref="BU11:BV11"/>
    <mergeCell ref="BY11:CA11"/>
    <mergeCell ref="BY12:CA12"/>
    <mergeCell ref="BN10:BO10"/>
    <mergeCell ref="BN12:BO12"/>
    <mergeCell ref="BU10:BV10"/>
    <mergeCell ref="BU12:BV12"/>
    <mergeCell ref="BR7:BT7"/>
    <mergeCell ref="BN9:BO9"/>
    <mergeCell ref="BR9:BT9"/>
    <mergeCell ref="U15:W15"/>
    <mergeCell ref="AL1:AR1"/>
    <mergeCell ref="AL7:AM7"/>
    <mergeCell ref="AP7:AR7"/>
    <mergeCell ref="AP9:AR9"/>
    <mergeCell ref="AP10:AR10"/>
    <mergeCell ref="AP11:AR11"/>
    <mergeCell ref="AP12:AR12"/>
    <mergeCell ref="AP13:AR13"/>
    <mergeCell ref="AP14:AR14"/>
    <mergeCell ref="AP15:AR15"/>
    <mergeCell ref="BR14:BT14"/>
    <mergeCell ref="BN15:BO15"/>
    <mergeCell ref="BR15:BT15"/>
    <mergeCell ref="BN1:BT1"/>
    <mergeCell ref="BN7:BO7"/>
    <mergeCell ref="AE1:AK1"/>
    <mergeCell ref="AI12:AK12"/>
    <mergeCell ref="AE13:AF13"/>
    <mergeCell ref="AI13:AK13"/>
    <mergeCell ref="AI14:AK14"/>
    <mergeCell ref="U14:W14"/>
    <mergeCell ref="Q15:R15"/>
    <mergeCell ref="N10:P10"/>
    <mergeCell ref="N11:P11"/>
    <mergeCell ref="U10:W10"/>
    <mergeCell ref="Q11:R11"/>
    <mergeCell ref="U11:W11"/>
    <mergeCell ref="U12:W12"/>
    <mergeCell ref="N14:P14"/>
    <mergeCell ref="N15:P15"/>
    <mergeCell ref="Q10:R10"/>
    <mergeCell ref="Q12:R12"/>
    <mergeCell ref="Q14:R14"/>
    <mergeCell ref="C1:I1"/>
    <mergeCell ref="G7:I7"/>
    <mergeCell ref="G9:I9"/>
    <mergeCell ref="C7:D7"/>
    <mergeCell ref="Q13:R13"/>
    <mergeCell ref="U13:W13"/>
    <mergeCell ref="J1:P1"/>
    <mergeCell ref="J7:K7"/>
    <mergeCell ref="N7:P7"/>
    <mergeCell ref="N9:P9"/>
    <mergeCell ref="Q1:W1"/>
    <mergeCell ref="Q7:R7"/>
    <mergeCell ref="U7:W7"/>
    <mergeCell ref="Q9:R9"/>
    <mergeCell ref="U9:W9"/>
    <mergeCell ref="J13:K13"/>
    <mergeCell ref="N12:P12"/>
    <mergeCell ref="N13:P13"/>
    <mergeCell ref="AE15:AF15"/>
    <mergeCell ref="AI15:AK15"/>
    <mergeCell ref="X1:AD1"/>
    <mergeCell ref="X7:Y7"/>
    <mergeCell ref="AB7:AD7"/>
    <mergeCell ref="X9:Y9"/>
    <mergeCell ref="AB9:AD9"/>
    <mergeCell ref="AB10:AD10"/>
    <mergeCell ref="X11:Y11"/>
    <mergeCell ref="AB11:AD11"/>
    <mergeCell ref="AB12:AD12"/>
    <mergeCell ref="X13:Y13"/>
    <mergeCell ref="AB13:AD13"/>
    <mergeCell ref="AB14:AD14"/>
    <mergeCell ref="X15:Y15"/>
    <mergeCell ref="AB15:AD15"/>
    <mergeCell ref="AE7:AF7"/>
    <mergeCell ref="AI7:AK7"/>
    <mergeCell ref="AE9:AF9"/>
    <mergeCell ref="AI9:AK9"/>
    <mergeCell ref="AI10:AK10"/>
    <mergeCell ref="AE11:AF11"/>
    <mergeCell ref="AI11:AK11"/>
    <mergeCell ref="X10:Y10"/>
    <mergeCell ref="BG1:BM1"/>
    <mergeCell ref="BG7:BH7"/>
    <mergeCell ref="BK7:BM7"/>
    <mergeCell ref="BG9:BH9"/>
    <mergeCell ref="BK9:BM9"/>
    <mergeCell ref="BK10:BM10"/>
    <mergeCell ref="BG11:BH11"/>
    <mergeCell ref="BK11:BM11"/>
    <mergeCell ref="BK12:BM12"/>
    <mergeCell ref="AZ1:BF1"/>
    <mergeCell ref="AZ7:BA7"/>
    <mergeCell ref="BD7:BF7"/>
    <mergeCell ref="AZ9:BA9"/>
    <mergeCell ref="BD9:BF9"/>
    <mergeCell ref="BD10:BF10"/>
    <mergeCell ref="AZ11:BA11"/>
    <mergeCell ref="BD11:BF11"/>
    <mergeCell ref="BD12:BF12"/>
    <mergeCell ref="AS1:AY1"/>
    <mergeCell ref="AS7:AT7"/>
    <mergeCell ref="AW7:AY7"/>
    <mergeCell ref="AS9:AT9"/>
    <mergeCell ref="AW9:AY9"/>
    <mergeCell ref="AW10:AY10"/>
    <mergeCell ref="AS11:AT11"/>
    <mergeCell ref="AW11:AY11"/>
    <mergeCell ref="AW12:AY12"/>
    <mergeCell ref="CW1:DC1"/>
    <mergeCell ref="CW7:CX7"/>
    <mergeCell ref="DA7:DC7"/>
    <mergeCell ref="CW9:CX9"/>
    <mergeCell ref="DA9:DC9"/>
    <mergeCell ref="DA10:DC10"/>
    <mergeCell ref="CW11:CX11"/>
    <mergeCell ref="DA11:DC11"/>
    <mergeCell ref="DA12:DC12"/>
    <mergeCell ref="CW10:CX10"/>
    <mergeCell ref="CW12:CX12"/>
    <mergeCell ref="CW15:CX15"/>
    <mergeCell ref="DA15:DC15"/>
    <mergeCell ref="BG13:BH13"/>
    <mergeCell ref="BK13:BM13"/>
    <mergeCell ref="BK14:BM14"/>
    <mergeCell ref="BG15:BH15"/>
    <mergeCell ref="BK15:BM15"/>
    <mergeCell ref="AZ13:BA13"/>
    <mergeCell ref="BD13:BF13"/>
    <mergeCell ref="BD14:BF14"/>
    <mergeCell ref="AZ15:BA15"/>
    <mergeCell ref="BD15:BF15"/>
    <mergeCell ref="BU13:BV13"/>
    <mergeCell ref="BY13:CA13"/>
    <mergeCell ref="BY14:CA14"/>
    <mergeCell ref="BU15:BV15"/>
    <mergeCell ref="BN14:BO14"/>
    <mergeCell ref="BU14:BV14"/>
    <mergeCell ref="CT15:CV15"/>
    <mergeCell ref="CM14:CO14"/>
    <mergeCell ref="CI15:CJ15"/>
    <mergeCell ref="CM15:CO15"/>
    <mergeCell ref="CP13:CQ13"/>
    <mergeCell ref="CT13:CV13"/>
    <mergeCell ref="DH13:DJ13"/>
    <mergeCell ref="DH14:DJ14"/>
    <mergeCell ref="DD15:DE15"/>
    <mergeCell ref="DH15:DJ15"/>
    <mergeCell ref="DK1:DQ1"/>
    <mergeCell ref="DK7:DL7"/>
    <mergeCell ref="DO7:DQ7"/>
    <mergeCell ref="DK9:DL9"/>
    <mergeCell ref="DO9:DQ9"/>
    <mergeCell ref="DO10:DQ10"/>
    <mergeCell ref="DK11:DL11"/>
    <mergeCell ref="DO11:DQ11"/>
    <mergeCell ref="DO12:DQ12"/>
    <mergeCell ref="DK13:DL13"/>
    <mergeCell ref="DO13:DQ13"/>
    <mergeCell ref="DO14:DQ14"/>
    <mergeCell ref="DK15:DL15"/>
    <mergeCell ref="DO15:DQ15"/>
    <mergeCell ref="DD1:DJ1"/>
    <mergeCell ref="DD7:DE7"/>
    <mergeCell ref="DH7:DJ7"/>
    <mergeCell ref="DD9:DE9"/>
    <mergeCell ref="DH9:DJ9"/>
    <mergeCell ref="DD10:DE10"/>
    <mergeCell ref="C55:D55"/>
    <mergeCell ref="G55:I55"/>
    <mergeCell ref="C56:D56"/>
    <mergeCell ref="G56:I56"/>
    <mergeCell ref="C57:D57"/>
    <mergeCell ref="G57:I57"/>
    <mergeCell ref="C43:I43"/>
    <mergeCell ref="C49:D49"/>
    <mergeCell ref="G49:I49"/>
    <mergeCell ref="C51:D51"/>
    <mergeCell ref="G51:I51"/>
    <mergeCell ref="C52:D52"/>
    <mergeCell ref="G52:I52"/>
    <mergeCell ref="C53:D53"/>
    <mergeCell ref="G53:I53"/>
    <mergeCell ref="C54:D54"/>
    <mergeCell ref="G54:I54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6"/>
  <sheetViews>
    <sheetView zoomScalePageLayoutView="0" workbookViewId="0" topLeftCell="A1">
      <selection activeCell="AK8" sqref="AK8"/>
    </sheetView>
  </sheetViews>
  <sheetFormatPr defaultColWidth="11.421875" defaultRowHeight="15"/>
  <cols>
    <col min="1" max="1" width="23.140625" style="0" customWidth="1"/>
    <col min="2" max="2" width="13.8515625" style="0" customWidth="1"/>
    <col min="3" max="3" width="14.140625" style="0" customWidth="1"/>
    <col min="4" max="4" width="13.8515625" style="0" customWidth="1"/>
    <col min="5" max="5" width="11.421875" style="0" customWidth="1"/>
    <col min="6" max="6" width="11.7109375" style="0" customWidth="1"/>
    <col min="7" max="8" width="11.421875" style="0" customWidth="1"/>
    <col min="9" max="9" width="11.7109375" style="0" customWidth="1"/>
    <col min="10" max="11" width="11.421875" style="0" customWidth="1"/>
    <col min="12" max="12" width="13.7109375" style="0" customWidth="1"/>
    <col min="13" max="13" width="13.8515625" style="0" customWidth="1"/>
    <col min="14" max="14" width="11.421875" style="0" customWidth="1"/>
    <col min="15" max="15" width="13.421875" style="0" customWidth="1"/>
    <col min="16" max="16" width="12.8515625" style="0" customWidth="1"/>
    <col min="17" max="17" width="11.421875" style="0" customWidth="1"/>
    <col min="18" max="18" width="11.7109375" style="0" customWidth="1"/>
    <col min="19" max="20" width="11.421875" style="0" customWidth="1"/>
    <col min="21" max="21" width="11.7109375" style="0" customWidth="1"/>
    <col min="22" max="23" width="11.421875" style="0" customWidth="1"/>
    <col min="24" max="24" width="13.28125" style="0" customWidth="1"/>
    <col min="25" max="25" width="13.140625" style="0" customWidth="1"/>
    <col min="26" max="26" width="11.421875" style="0" customWidth="1"/>
    <col min="27" max="27" width="11.7109375" style="0" customWidth="1"/>
    <col min="28" max="29" width="11.421875" style="0" customWidth="1"/>
    <col min="30" max="30" width="11.7109375" style="0" customWidth="1"/>
    <col min="31" max="32" width="11.421875" style="0" customWidth="1"/>
    <col min="33" max="33" width="11.7109375" style="0" customWidth="1"/>
    <col min="34" max="35" width="11.421875" style="0" customWidth="1"/>
    <col min="36" max="36" width="11.7109375" style="0" customWidth="1"/>
    <col min="37" max="38" width="11.421875" style="0" customWidth="1"/>
    <col min="39" max="40" width="12.57421875" style="0" customWidth="1"/>
    <col min="41" max="41" width="11.421875" style="0" customWidth="1"/>
    <col min="42" max="43" width="11.7109375" style="0" customWidth="1"/>
    <col min="44" max="44" width="11.421875" style="0" customWidth="1"/>
    <col min="45" max="46" width="11.7109375" style="0" bestFit="1" customWidth="1"/>
    <col min="48" max="49" width="11.7109375" style="0" bestFit="1" customWidth="1"/>
    <col min="51" max="52" width="11.7109375" style="0" bestFit="1" customWidth="1"/>
  </cols>
  <sheetData>
    <row r="1" spans="2:53" ht="15">
      <c r="B1" s="14"/>
      <c r="C1" s="323" t="s">
        <v>74</v>
      </c>
      <c r="D1" s="324"/>
      <c r="E1" s="325"/>
      <c r="F1" s="326" t="s">
        <v>77</v>
      </c>
      <c r="G1" s="326"/>
      <c r="H1" s="326"/>
      <c r="I1" s="327" t="s">
        <v>78</v>
      </c>
      <c r="J1" s="328"/>
      <c r="K1" s="329"/>
      <c r="L1" s="385" t="s">
        <v>86</v>
      </c>
      <c r="M1" s="385"/>
      <c r="N1" s="385"/>
      <c r="O1" s="333" t="s">
        <v>87</v>
      </c>
      <c r="P1" s="334"/>
      <c r="Q1" s="335"/>
      <c r="R1" s="349" t="s">
        <v>79</v>
      </c>
      <c r="S1" s="350"/>
      <c r="T1" s="351"/>
      <c r="U1" s="356" t="s">
        <v>90</v>
      </c>
      <c r="V1" s="357"/>
      <c r="W1" s="358"/>
      <c r="X1" s="354" t="s">
        <v>89</v>
      </c>
      <c r="Y1" s="354"/>
      <c r="Z1" s="355"/>
      <c r="AA1" s="352" t="s">
        <v>84</v>
      </c>
      <c r="AB1" s="352"/>
      <c r="AC1" s="352"/>
      <c r="AD1" s="336" t="s">
        <v>88</v>
      </c>
      <c r="AE1" s="337"/>
      <c r="AF1" s="338"/>
      <c r="AG1" s="339" t="s">
        <v>80</v>
      </c>
      <c r="AH1" s="340"/>
      <c r="AI1" s="341"/>
      <c r="AJ1" s="342" t="s">
        <v>81</v>
      </c>
      <c r="AK1" s="343"/>
      <c r="AL1" s="344"/>
      <c r="AM1" s="345" t="s">
        <v>82</v>
      </c>
      <c r="AN1" s="345"/>
      <c r="AO1" s="345"/>
      <c r="AP1" s="330" t="s">
        <v>83</v>
      </c>
      <c r="AQ1" s="331"/>
      <c r="AR1" s="332"/>
      <c r="AS1" s="311" t="s">
        <v>91</v>
      </c>
      <c r="AT1" s="312"/>
      <c r="AU1" s="313"/>
      <c r="AV1" s="314" t="s">
        <v>92</v>
      </c>
      <c r="AW1" s="315"/>
      <c r="AX1" s="316"/>
      <c r="AY1" s="317" t="s">
        <v>93</v>
      </c>
      <c r="AZ1" s="318"/>
      <c r="BA1" s="319"/>
    </row>
    <row r="2" spans="2:53" ht="15">
      <c r="B2" s="14"/>
      <c r="C2" s="33" t="s">
        <v>55</v>
      </c>
      <c r="D2" s="34" t="s">
        <v>56</v>
      </c>
      <c r="E2" s="35" t="s">
        <v>57</v>
      </c>
      <c r="F2" s="63" t="s">
        <v>55</v>
      </c>
      <c r="G2" s="42" t="s">
        <v>56</v>
      </c>
      <c r="H2" s="43" t="s">
        <v>57</v>
      </c>
      <c r="I2" s="37" t="s">
        <v>55</v>
      </c>
      <c r="J2" s="38" t="s">
        <v>56</v>
      </c>
      <c r="K2" s="39" t="s">
        <v>57</v>
      </c>
      <c r="L2" s="129" t="s">
        <v>55</v>
      </c>
      <c r="M2" s="130" t="s">
        <v>56</v>
      </c>
      <c r="N2" s="131" t="s">
        <v>57</v>
      </c>
      <c r="O2" s="118" t="s">
        <v>55</v>
      </c>
      <c r="P2" s="119" t="s">
        <v>56</v>
      </c>
      <c r="Q2" s="120" t="s">
        <v>57</v>
      </c>
      <c r="R2" s="52" t="s">
        <v>55</v>
      </c>
      <c r="S2" s="53" t="s">
        <v>56</v>
      </c>
      <c r="T2" s="54" t="s">
        <v>57</v>
      </c>
      <c r="U2" s="132" t="s">
        <v>55</v>
      </c>
      <c r="V2" s="133" t="s">
        <v>56</v>
      </c>
      <c r="W2" s="134" t="s">
        <v>57</v>
      </c>
      <c r="X2" s="135" t="s">
        <v>55</v>
      </c>
      <c r="Y2" s="136" t="s">
        <v>56</v>
      </c>
      <c r="Z2" s="137" t="s">
        <v>57</v>
      </c>
      <c r="AA2" s="64" t="s">
        <v>55</v>
      </c>
      <c r="AB2" s="65" t="s">
        <v>56</v>
      </c>
      <c r="AC2" s="66" t="s">
        <v>57</v>
      </c>
      <c r="AD2" s="138" t="s">
        <v>55</v>
      </c>
      <c r="AE2" s="139" t="s">
        <v>56</v>
      </c>
      <c r="AF2" s="140" t="s">
        <v>57</v>
      </c>
      <c r="AG2" s="49" t="s">
        <v>55</v>
      </c>
      <c r="AH2" s="50" t="s">
        <v>56</v>
      </c>
      <c r="AI2" s="51" t="s">
        <v>57</v>
      </c>
      <c r="AJ2" s="56" t="s">
        <v>55</v>
      </c>
      <c r="AK2" s="57" t="s">
        <v>56</v>
      </c>
      <c r="AL2" s="58" t="s">
        <v>57</v>
      </c>
      <c r="AM2" s="67" t="s">
        <v>55</v>
      </c>
      <c r="AN2" s="68" t="s">
        <v>56</v>
      </c>
      <c r="AO2" s="69" t="s">
        <v>57</v>
      </c>
      <c r="AP2" s="60" t="s">
        <v>55</v>
      </c>
      <c r="AQ2" s="61" t="s">
        <v>56</v>
      </c>
      <c r="AR2" s="62" t="s">
        <v>57</v>
      </c>
      <c r="AS2" s="155" t="s">
        <v>55</v>
      </c>
      <c r="AT2" s="156" t="s">
        <v>56</v>
      </c>
      <c r="AU2" s="157" t="s">
        <v>57</v>
      </c>
      <c r="AV2" s="158" t="s">
        <v>55</v>
      </c>
      <c r="AW2" s="159" t="s">
        <v>56</v>
      </c>
      <c r="AX2" s="160" t="s">
        <v>57</v>
      </c>
      <c r="AY2" s="161" t="s">
        <v>55</v>
      </c>
      <c r="AZ2" s="162" t="s">
        <v>56</v>
      </c>
      <c r="BA2" s="163" t="s">
        <v>57</v>
      </c>
    </row>
    <row r="3" spans="1:53" ht="15">
      <c r="A3" s="1" t="s">
        <v>39</v>
      </c>
      <c r="B3" s="14" t="s">
        <v>47</v>
      </c>
      <c r="C3" s="181">
        <v>0</v>
      </c>
      <c r="D3" s="181">
        <v>0</v>
      </c>
      <c r="E3" s="181">
        <v>0</v>
      </c>
      <c r="F3" s="253">
        <v>0</v>
      </c>
      <c r="G3" s="254">
        <v>0</v>
      </c>
      <c r="H3" s="254">
        <v>0</v>
      </c>
      <c r="I3" s="31">
        <v>0</v>
      </c>
      <c r="J3" s="32">
        <v>0</v>
      </c>
      <c r="K3" s="196" t="s">
        <v>61</v>
      </c>
      <c r="L3" s="107">
        <v>0</v>
      </c>
      <c r="M3" s="108">
        <v>0</v>
      </c>
      <c r="N3" s="29">
        <v>0</v>
      </c>
      <c r="O3" s="107">
        <v>0</v>
      </c>
      <c r="P3" s="108">
        <v>0</v>
      </c>
      <c r="Q3" s="196" t="s">
        <v>61</v>
      </c>
      <c r="R3" s="225">
        <v>0</v>
      </c>
      <c r="S3" s="226">
        <v>0</v>
      </c>
      <c r="T3" s="196" t="s">
        <v>61</v>
      </c>
      <c r="U3" s="107">
        <v>0</v>
      </c>
      <c r="V3" s="108">
        <v>0</v>
      </c>
      <c r="W3" s="29">
        <v>0</v>
      </c>
      <c r="X3" s="107">
        <v>0</v>
      </c>
      <c r="Y3" s="108">
        <v>0</v>
      </c>
      <c r="Z3" s="29">
        <v>0</v>
      </c>
      <c r="AA3" s="259">
        <v>0</v>
      </c>
      <c r="AB3" s="260">
        <v>0</v>
      </c>
      <c r="AC3" s="263">
        <v>0</v>
      </c>
      <c r="AD3" s="264">
        <v>0</v>
      </c>
      <c r="AE3" s="265">
        <v>0</v>
      </c>
      <c r="AF3" s="270">
        <v>0</v>
      </c>
      <c r="AG3" s="31">
        <v>0</v>
      </c>
      <c r="AH3" s="32">
        <v>0</v>
      </c>
      <c r="AI3" s="29">
        <v>0</v>
      </c>
      <c r="AJ3" s="232">
        <v>0</v>
      </c>
      <c r="AK3" s="233">
        <v>0</v>
      </c>
      <c r="AL3" s="196" t="s">
        <v>61</v>
      </c>
      <c r="AM3" s="271">
        <v>0</v>
      </c>
      <c r="AN3" s="272">
        <v>0</v>
      </c>
      <c r="AO3" s="196" t="s">
        <v>61</v>
      </c>
      <c r="AP3" s="31">
        <v>0</v>
      </c>
      <c r="AQ3" s="32">
        <v>0</v>
      </c>
      <c r="AR3" s="29">
        <v>0</v>
      </c>
      <c r="AS3" s="107">
        <v>0</v>
      </c>
      <c r="AT3" s="108">
        <v>0</v>
      </c>
      <c r="AU3" s="29">
        <v>0</v>
      </c>
      <c r="AV3" s="107">
        <v>0</v>
      </c>
      <c r="AW3" s="108">
        <v>0</v>
      </c>
      <c r="AX3" s="196" t="s">
        <v>61</v>
      </c>
      <c r="AY3" s="295">
        <v>0</v>
      </c>
      <c r="AZ3" s="296">
        <v>0</v>
      </c>
      <c r="BA3" s="300">
        <v>0</v>
      </c>
    </row>
    <row r="4" spans="1:53" ht="15">
      <c r="A4" s="1" t="s">
        <v>40</v>
      </c>
      <c r="B4" s="14" t="s">
        <v>48</v>
      </c>
      <c r="C4" s="210">
        <v>0</v>
      </c>
      <c r="D4" s="210">
        <v>0</v>
      </c>
      <c r="E4" s="210">
        <v>0</v>
      </c>
      <c r="F4" s="253">
        <v>0</v>
      </c>
      <c r="G4" s="254">
        <v>0</v>
      </c>
      <c r="H4" s="254">
        <v>0</v>
      </c>
      <c r="I4" s="31">
        <v>0</v>
      </c>
      <c r="J4" s="32">
        <v>0</v>
      </c>
      <c r="K4" s="196" t="s">
        <v>61</v>
      </c>
      <c r="L4" s="107">
        <v>0</v>
      </c>
      <c r="M4" s="108">
        <v>0</v>
      </c>
      <c r="N4" s="29">
        <v>0</v>
      </c>
      <c r="O4" s="107">
        <v>0</v>
      </c>
      <c r="P4" s="108">
        <v>0</v>
      </c>
      <c r="Q4" s="198" t="s">
        <v>61</v>
      </c>
      <c r="R4" s="225">
        <v>0</v>
      </c>
      <c r="S4" s="226">
        <v>0</v>
      </c>
      <c r="T4" s="198" t="s">
        <v>61</v>
      </c>
      <c r="U4" s="107">
        <v>0</v>
      </c>
      <c r="V4" s="108">
        <v>0</v>
      </c>
      <c r="W4" s="29">
        <v>0</v>
      </c>
      <c r="X4" s="107">
        <v>0</v>
      </c>
      <c r="Y4" s="108">
        <v>0</v>
      </c>
      <c r="Z4" s="29">
        <v>0</v>
      </c>
      <c r="AA4" s="259">
        <v>0</v>
      </c>
      <c r="AB4" s="260">
        <v>0</v>
      </c>
      <c r="AC4" s="263">
        <v>0</v>
      </c>
      <c r="AD4" s="264">
        <v>0</v>
      </c>
      <c r="AE4" s="265">
        <v>0</v>
      </c>
      <c r="AF4" s="270">
        <v>0</v>
      </c>
      <c r="AG4" s="31">
        <v>0</v>
      </c>
      <c r="AH4" s="32">
        <v>0</v>
      </c>
      <c r="AI4" s="29">
        <v>0</v>
      </c>
      <c r="AJ4" s="232">
        <v>0</v>
      </c>
      <c r="AK4" s="233">
        <v>0</v>
      </c>
      <c r="AL4" s="196" t="s">
        <v>61</v>
      </c>
      <c r="AM4" s="271">
        <v>0</v>
      </c>
      <c r="AN4" s="272">
        <v>0</v>
      </c>
      <c r="AO4" s="196" t="s">
        <v>61</v>
      </c>
      <c r="AP4" s="31">
        <v>0</v>
      </c>
      <c r="AQ4" s="32">
        <v>0</v>
      </c>
      <c r="AR4" s="29">
        <v>0</v>
      </c>
      <c r="AS4" s="107">
        <v>0</v>
      </c>
      <c r="AT4" s="108">
        <v>0</v>
      </c>
      <c r="AU4" s="29">
        <v>0</v>
      </c>
      <c r="AV4" s="107">
        <v>0</v>
      </c>
      <c r="AW4" s="108">
        <v>0</v>
      </c>
      <c r="AX4" s="196" t="s">
        <v>61</v>
      </c>
      <c r="AY4" s="295">
        <v>0</v>
      </c>
      <c r="AZ4" s="296">
        <v>0</v>
      </c>
      <c r="BA4" s="300">
        <v>0</v>
      </c>
    </row>
    <row r="5" spans="1:53" ht="15">
      <c r="A5" s="1" t="s">
        <v>41</v>
      </c>
      <c r="B5" s="14" t="s">
        <v>49</v>
      </c>
      <c r="C5" s="210">
        <v>0</v>
      </c>
      <c r="D5" s="210">
        <v>0</v>
      </c>
      <c r="E5" s="210">
        <v>0</v>
      </c>
      <c r="F5" s="253">
        <v>0</v>
      </c>
      <c r="G5" s="254">
        <v>0</v>
      </c>
      <c r="H5" s="254">
        <v>0</v>
      </c>
      <c r="I5" s="31">
        <v>0</v>
      </c>
      <c r="J5" s="32">
        <v>0</v>
      </c>
      <c r="K5" s="196" t="s">
        <v>61</v>
      </c>
      <c r="L5" s="107">
        <v>0</v>
      </c>
      <c r="M5" s="108">
        <v>0</v>
      </c>
      <c r="N5" s="29">
        <v>0</v>
      </c>
      <c r="O5" s="107">
        <v>0</v>
      </c>
      <c r="P5" s="108">
        <v>0</v>
      </c>
      <c r="Q5" s="196" t="s">
        <v>61</v>
      </c>
      <c r="R5" s="225">
        <v>0</v>
      </c>
      <c r="S5" s="226">
        <v>0</v>
      </c>
      <c r="T5" s="196" t="s">
        <v>61</v>
      </c>
      <c r="U5" s="107">
        <v>0</v>
      </c>
      <c r="V5" s="108">
        <v>0</v>
      </c>
      <c r="W5" s="29">
        <v>0</v>
      </c>
      <c r="X5" s="107">
        <v>0</v>
      </c>
      <c r="Y5" s="108">
        <v>0</v>
      </c>
      <c r="Z5" s="29">
        <v>0</v>
      </c>
      <c r="AA5" s="259">
        <v>0</v>
      </c>
      <c r="AB5" s="260">
        <v>0</v>
      </c>
      <c r="AC5" s="263">
        <v>0</v>
      </c>
      <c r="AD5" s="264">
        <v>0</v>
      </c>
      <c r="AE5" s="265">
        <v>0</v>
      </c>
      <c r="AF5" s="270">
        <v>0</v>
      </c>
      <c r="AG5" s="31">
        <v>0</v>
      </c>
      <c r="AH5" s="32">
        <v>0</v>
      </c>
      <c r="AI5" s="29">
        <v>0</v>
      </c>
      <c r="AJ5" s="232">
        <v>0</v>
      </c>
      <c r="AK5" s="233">
        <v>0</v>
      </c>
      <c r="AL5" s="196" t="s">
        <v>61</v>
      </c>
      <c r="AM5" s="271">
        <v>0</v>
      </c>
      <c r="AN5" s="272">
        <v>0</v>
      </c>
      <c r="AO5" s="196" t="s">
        <v>61</v>
      </c>
      <c r="AP5" s="31">
        <v>0</v>
      </c>
      <c r="AQ5" s="32">
        <v>0</v>
      </c>
      <c r="AR5" s="29">
        <v>0</v>
      </c>
      <c r="AS5" s="107">
        <v>0</v>
      </c>
      <c r="AT5" s="108">
        <v>0</v>
      </c>
      <c r="AU5" s="29">
        <v>0</v>
      </c>
      <c r="AV5" s="107">
        <v>0</v>
      </c>
      <c r="AW5" s="108">
        <v>0</v>
      </c>
      <c r="AX5" s="196" t="s">
        <v>61</v>
      </c>
      <c r="AY5" s="295">
        <v>0</v>
      </c>
      <c r="AZ5" s="296">
        <v>0</v>
      </c>
      <c r="BA5" s="300">
        <v>0</v>
      </c>
    </row>
    <row r="6" spans="1:53" ht="15">
      <c r="A6" s="1" t="s">
        <v>42</v>
      </c>
      <c r="B6" s="14" t="s">
        <v>50</v>
      </c>
      <c r="C6" s="204">
        <v>4</v>
      </c>
      <c r="D6" s="181">
        <v>4</v>
      </c>
      <c r="E6" s="181">
        <v>0</v>
      </c>
      <c r="F6" s="193"/>
      <c r="G6" s="181">
        <v>0</v>
      </c>
      <c r="H6" s="181"/>
      <c r="I6" s="31">
        <v>5</v>
      </c>
      <c r="J6" s="32">
        <v>0</v>
      </c>
      <c r="K6" s="29">
        <v>5</v>
      </c>
      <c r="L6" s="107">
        <f>M6+N6</f>
        <v>350</v>
      </c>
      <c r="M6" s="108">
        <v>322</v>
      </c>
      <c r="N6" s="29">
        <v>28</v>
      </c>
      <c r="O6" s="107">
        <v>0</v>
      </c>
      <c r="P6" s="108">
        <v>0</v>
      </c>
      <c r="Q6" s="29">
        <v>0</v>
      </c>
      <c r="R6" s="180">
        <v>0</v>
      </c>
      <c r="S6" s="181">
        <v>0</v>
      </c>
      <c r="T6" s="198" t="s">
        <v>61</v>
      </c>
      <c r="U6" s="107">
        <f>V6+W6</f>
        <v>6</v>
      </c>
      <c r="V6" s="108">
        <v>3</v>
      </c>
      <c r="W6" s="29">
        <v>3</v>
      </c>
      <c r="X6" s="107">
        <f>Y6+Z6</f>
        <v>32</v>
      </c>
      <c r="Y6" s="108">
        <v>28</v>
      </c>
      <c r="Z6" s="29">
        <v>4</v>
      </c>
      <c r="AA6" s="31">
        <f>AB6+AC6</f>
        <v>3</v>
      </c>
      <c r="AB6" s="32">
        <v>2</v>
      </c>
      <c r="AC6" s="29">
        <v>1</v>
      </c>
      <c r="AD6" s="204">
        <v>0</v>
      </c>
      <c r="AE6" s="108">
        <v>0</v>
      </c>
      <c r="AF6" s="29">
        <v>0</v>
      </c>
      <c r="AG6" s="31">
        <v>3</v>
      </c>
      <c r="AH6" s="32">
        <v>0</v>
      </c>
      <c r="AI6" s="29">
        <v>3</v>
      </c>
      <c r="AJ6" s="31">
        <f>AK6+AL6</f>
        <v>7</v>
      </c>
      <c r="AK6" s="32">
        <v>0</v>
      </c>
      <c r="AL6" s="29">
        <v>7</v>
      </c>
      <c r="AM6" s="31">
        <v>0</v>
      </c>
      <c r="AN6" s="32">
        <v>0</v>
      </c>
      <c r="AO6" s="29">
        <v>0</v>
      </c>
      <c r="AP6" s="31">
        <f>AQ6+AR6</f>
        <v>5</v>
      </c>
      <c r="AQ6" s="32">
        <v>1</v>
      </c>
      <c r="AR6" s="29">
        <v>4</v>
      </c>
      <c r="AS6" s="107">
        <v>0</v>
      </c>
      <c r="AT6" s="108">
        <v>0</v>
      </c>
      <c r="AU6" s="29">
        <v>0</v>
      </c>
      <c r="AV6" s="204">
        <v>1</v>
      </c>
      <c r="AW6" s="108">
        <v>1</v>
      </c>
      <c r="AX6" s="29">
        <v>0</v>
      </c>
      <c r="AY6" s="107">
        <v>0</v>
      </c>
      <c r="AZ6" s="196" t="s">
        <v>61</v>
      </c>
      <c r="BA6" s="29">
        <v>0</v>
      </c>
    </row>
    <row r="7" spans="1:53" ht="15">
      <c r="A7" s="1" t="s">
        <v>43</v>
      </c>
      <c r="B7" s="14" t="s">
        <v>51</v>
      </c>
      <c r="C7" s="205">
        <v>109846.7</v>
      </c>
      <c r="D7" s="183">
        <v>109846.7</v>
      </c>
      <c r="E7" s="183">
        <v>0</v>
      </c>
      <c r="F7" s="195"/>
      <c r="G7" s="183">
        <v>15492.1</v>
      </c>
      <c r="H7" s="27"/>
      <c r="I7" s="7">
        <v>13248.9</v>
      </c>
      <c r="J7" s="7">
        <v>13248.9</v>
      </c>
      <c r="K7" s="29">
        <v>0</v>
      </c>
      <c r="L7" s="7">
        <v>7104429.17</v>
      </c>
      <c r="M7" s="7">
        <v>7104429.17</v>
      </c>
      <c r="N7" s="29">
        <v>0</v>
      </c>
      <c r="O7" s="179">
        <v>0</v>
      </c>
      <c r="P7" s="179">
        <v>0</v>
      </c>
      <c r="Q7" s="241">
        <v>0</v>
      </c>
      <c r="R7" s="182">
        <v>1110292.66</v>
      </c>
      <c r="S7" s="183">
        <v>1110292.66</v>
      </c>
      <c r="T7" s="198" t="s">
        <v>61</v>
      </c>
      <c r="U7" s="7">
        <v>1178798.31</v>
      </c>
      <c r="V7" s="7">
        <v>1178798.31</v>
      </c>
      <c r="W7" s="27">
        <v>0</v>
      </c>
      <c r="X7" s="179">
        <v>11266660.12</v>
      </c>
      <c r="Y7" s="179">
        <v>11266660.12</v>
      </c>
      <c r="Z7" s="27">
        <v>0</v>
      </c>
      <c r="AA7" s="7">
        <v>2089279.28</v>
      </c>
      <c r="AB7" s="7">
        <v>2089279.28</v>
      </c>
      <c r="AC7" s="27">
        <v>0</v>
      </c>
      <c r="AD7" s="13">
        <v>615548.1</v>
      </c>
      <c r="AE7" s="13">
        <v>615548.1</v>
      </c>
      <c r="AF7" s="27">
        <v>0</v>
      </c>
      <c r="AG7" s="13">
        <v>49630.8</v>
      </c>
      <c r="AH7" s="13">
        <v>49630.8</v>
      </c>
      <c r="AI7" s="27">
        <v>0</v>
      </c>
      <c r="AJ7" s="26">
        <f>AK7+AL7</f>
        <v>0</v>
      </c>
      <c r="AK7" s="7">
        <v>0</v>
      </c>
      <c r="AL7" s="27">
        <v>0</v>
      </c>
      <c r="AM7" s="177">
        <v>4135.9</v>
      </c>
      <c r="AN7" s="179">
        <v>4135.9</v>
      </c>
      <c r="AO7" s="27">
        <v>0</v>
      </c>
      <c r="AP7" s="179">
        <v>234624.7</v>
      </c>
      <c r="AQ7" s="179">
        <v>234624.7</v>
      </c>
      <c r="AR7" s="27">
        <v>0</v>
      </c>
      <c r="AS7" s="109">
        <f>AT7</f>
        <v>454037.7</v>
      </c>
      <c r="AT7" s="13">
        <v>454037.7</v>
      </c>
      <c r="AU7" s="27">
        <v>0</v>
      </c>
      <c r="AV7" s="13">
        <v>3282923.2</v>
      </c>
      <c r="AW7" s="13">
        <v>3282923.2</v>
      </c>
      <c r="AX7" s="27">
        <v>0</v>
      </c>
      <c r="AY7" s="109">
        <v>0</v>
      </c>
      <c r="AZ7" s="196" t="s">
        <v>61</v>
      </c>
      <c r="BA7" s="27">
        <v>0</v>
      </c>
    </row>
    <row r="8" spans="1:53" ht="15">
      <c r="A8" s="15" t="s">
        <v>62</v>
      </c>
      <c r="B8" s="25" t="s">
        <v>63</v>
      </c>
      <c r="C8" s="194">
        <v>2332388.79</v>
      </c>
      <c r="D8" s="183">
        <v>2332388.79</v>
      </c>
      <c r="E8" s="183">
        <v>0</v>
      </c>
      <c r="F8" s="182">
        <v>296382.8</v>
      </c>
      <c r="G8" s="183">
        <v>296382.8</v>
      </c>
      <c r="H8" s="183">
        <v>0</v>
      </c>
      <c r="I8" s="214">
        <v>134903.06</v>
      </c>
      <c r="J8" s="13">
        <v>134903.06</v>
      </c>
      <c r="K8" s="196" t="s">
        <v>61</v>
      </c>
      <c r="L8" s="109">
        <v>28749152</v>
      </c>
      <c r="M8" s="13">
        <v>28749152</v>
      </c>
      <c r="N8" s="27">
        <v>0</v>
      </c>
      <c r="O8" s="109">
        <v>13343575.88</v>
      </c>
      <c r="P8" s="13">
        <v>13343575.88</v>
      </c>
      <c r="Q8" s="196" t="s">
        <v>61</v>
      </c>
      <c r="R8" s="182">
        <v>459840.34</v>
      </c>
      <c r="S8" s="183">
        <v>459840.34</v>
      </c>
      <c r="T8" s="196" t="s">
        <v>61</v>
      </c>
      <c r="U8" s="109">
        <v>9247516.5</v>
      </c>
      <c r="V8" s="13">
        <v>9247516.5</v>
      </c>
      <c r="W8" s="27">
        <v>0</v>
      </c>
      <c r="X8" s="109">
        <v>15383939.63</v>
      </c>
      <c r="Y8" s="13">
        <v>15383939.63</v>
      </c>
      <c r="Z8" s="27">
        <v>0</v>
      </c>
      <c r="AA8" s="26">
        <v>3773121.56</v>
      </c>
      <c r="AB8" s="13">
        <v>3773121.56</v>
      </c>
      <c r="AC8" s="27">
        <v>0</v>
      </c>
      <c r="AD8" s="109">
        <v>2831121.41</v>
      </c>
      <c r="AE8" s="13">
        <v>2831121.41</v>
      </c>
      <c r="AF8" s="27">
        <v>0</v>
      </c>
      <c r="AG8" s="26">
        <v>5929686.81</v>
      </c>
      <c r="AH8" s="13">
        <v>5929686.81</v>
      </c>
      <c r="AI8" s="27">
        <v>0</v>
      </c>
      <c r="AJ8" s="26">
        <v>1513808.3</v>
      </c>
      <c r="AK8" s="13">
        <v>1513808.3</v>
      </c>
      <c r="AL8" s="196" t="s">
        <v>61</v>
      </c>
      <c r="AM8" s="26">
        <v>11355705.53</v>
      </c>
      <c r="AN8" s="13">
        <v>11355705.53</v>
      </c>
      <c r="AO8" s="196" t="s">
        <v>61</v>
      </c>
      <c r="AP8" s="26">
        <v>1238763.47</v>
      </c>
      <c r="AQ8" s="13">
        <v>1238763.47</v>
      </c>
      <c r="AR8" s="27">
        <v>0</v>
      </c>
      <c r="AS8" s="109">
        <v>9340107.31</v>
      </c>
      <c r="AT8" s="13">
        <v>9340107.31</v>
      </c>
      <c r="AU8" s="27">
        <v>0</v>
      </c>
      <c r="AV8" s="109">
        <v>2794837.09</v>
      </c>
      <c r="AW8" s="13">
        <v>2794837.09</v>
      </c>
      <c r="AX8" s="196" t="s">
        <v>61</v>
      </c>
      <c r="AY8" s="109">
        <f>AZ8+BA8</f>
        <v>9386239.92</v>
      </c>
      <c r="AZ8" s="13">
        <v>9386239.92</v>
      </c>
      <c r="BA8" s="27">
        <v>0</v>
      </c>
    </row>
    <row r="9" spans="1:53" ht="15">
      <c r="A9" s="1" t="s">
        <v>44</v>
      </c>
      <c r="B9" s="14" t="s">
        <v>52</v>
      </c>
      <c r="C9" s="210">
        <v>0</v>
      </c>
      <c r="D9" s="210">
        <v>0</v>
      </c>
      <c r="E9" s="210">
        <v>0</v>
      </c>
      <c r="F9" s="255">
        <f>G9+H9</f>
        <v>12828.3</v>
      </c>
      <c r="G9" s="258">
        <v>12828.3</v>
      </c>
      <c r="H9" s="181">
        <v>0</v>
      </c>
      <c r="I9" s="31">
        <v>0</v>
      </c>
      <c r="J9" s="32">
        <v>0</v>
      </c>
      <c r="K9" s="196" t="s">
        <v>61</v>
      </c>
      <c r="L9" s="239">
        <v>125268.7</v>
      </c>
      <c r="M9" s="240">
        <v>125268.7</v>
      </c>
      <c r="N9" s="29">
        <v>0</v>
      </c>
      <c r="O9" s="107">
        <v>0</v>
      </c>
      <c r="P9" s="108">
        <v>0</v>
      </c>
      <c r="Q9" s="198" t="s">
        <v>61</v>
      </c>
      <c r="R9" s="225">
        <v>0</v>
      </c>
      <c r="S9" s="226">
        <v>0</v>
      </c>
      <c r="T9" s="198" t="s">
        <v>61</v>
      </c>
      <c r="U9" s="107">
        <v>0</v>
      </c>
      <c r="V9" s="108">
        <v>0</v>
      </c>
      <c r="W9" s="29">
        <v>0</v>
      </c>
      <c r="X9" s="107">
        <v>0</v>
      </c>
      <c r="Y9" s="108">
        <v>0</v>
      </c>
      <c r="Z9" s="29">
        <v>0</v>
      </c>
      <c r="AA9" s="259">
        <v>0</v>
      </c>
      <c r="AB9" s="260">
        <v>0</v>
      </c>
      <c r="AC9" s="263">
        <v>0</v>
      </c>
      <c r="AD9" s="107">
        <v>0</v>
      </c>
      <c r="AE9" s="108">
        <v>0</v>
      </c>
      <c r="AF9" s="29">
        <v>0</v>
      </c>
      <c r="AG9" s="31">
        <v>0</v>
      </c>
      <c r="AH9" s="32">
        <v>0</v>
      </c>
      <c r="AI9" s="29">
        <v>0</v>
      </c>
      <c r="AJ9" s="232">
        <v>0</v>
      </c>
      <c r="AK9" s="233">
        <v>0</v>
      </c>
      <c r="AL9" s="196" t="s">
        <v>61</v>
      </c>
      <c r="AM9" s="271">
        <v>0</v>
      </c>
      <c r="AN9" s="272">
        <v>0</v>
      </c>
      <c r="AO9" s="196" t="s">
        <v>61</v>
      </c>
      <c r="AP9" s="31">
        <v>0</v>
      </c>
      <c r="AQ9" s="32">
        <v>0</v>
      </c>
      <c r="AR9" s="29">
        <v>0</v>
      </c>
      <c r="AS9" s="107">
        <v>0</v>
      </c>
      <c r="AT9" s="108">
        <v>0</v>
      </c>
      <c r="AU9" s="29">
        <v>0</v>
      </c>
      <c r="AV9" s="107">
        <v>0</v>
      </c>
      <c r="AW9" s="108">
        <v>0</v>
      </c>
      <c r="AX9" s="196" t="s">
        <v>61</v>
      </c>
      <c r="AY9" s="107">
        <v>0</v>
      </c>
      <c r="AZ9" s="108">
        <v>0</v>
      </c>
      <c r="BA9" s="29">
        <v>0</v>
      </c>
    </row>
    <row r="10" spans="1:53" ht="15">
      <c r="A10" s="1" t="s">
        <v>45</v>
      </c>
      <c r="B10" s="14" t="s">
        <v>53</v>
      </c>
      <c r="C10" s="211">
        <v>311888.47</v>
      </c>
      <c r="D10" s="211">
        <v>311888.47</v>
      </c>
      <c r="E10" s="181">
        <v>0</v>
      </c>
      <c r="F10" s="180">
        <v>0</v>
      </c>
      <c r="G10" s="181">
        <v>0</v>
      </c>
      <c r="H10" s="181">
        <v>0</v>
      </c>
      <c r="I10" s="31">
        <v>0</v>
      </c>
      <c r="J10" s="32">
        <v>0</v>
      </c>
      <c r="K10" s="196" t="s">
        <v>61</v>
      </c>
      <c r="L10" s="239">
        <v>178654.7</v>
      </c>
      <c r="M10" s="240">
        <v>178654.7</v>
      </c>
      <c r="N10" s="29">
        <v>0</v>
      </c>
      <c r="O10" s="244">
        <v>132000</v>
      </c>
      <c r="P10" s="245">
        <v>132000</v>
      </c>
      <c r="Q10" s="196" t="s">
        <v>61</v>
      </c>
      <c r="R10" s="225">
        <v>0</v>
      </c>
      <c r="S10" s="226">
        <v>0</v>
      </c>
      <c r="T10" s="196" t="s">
        <v>61</v>
      </c>
      <c r="U10" s="107">
        <v>0</v>
      </c>
      <c r="V10" s="108">
        <v>0</v>
      </c>
      <c r="W10" s="29">
        <v>0</v>
      </c>
      <c r="X10" s="250">
        <v>78862.5</v>
      </c>
      <c r="Y10" s="251">
        <v>78862.5</v>
      </c>
      <c r="Z10" s="29">
        <v>0</v>
      </c>
      <c r="AA10" s="261">
        <v>488368.7</v>
      </c>
      <c r="AB10" s="262">
        <v>488368.7</v>
      </c>
      <c r="AC10" s="29">
        <v>0</v>
      </c>
      <c r="AD10" s="266">
        <v>1822.6</v>
      </c>
      <c r="AE10" s="268">
        <v>1822.6</v>
      </c>
      <c r="AF10" s="29">
        <v>0</v>
      </c>
      <c r="AG10" s="216">
        <v>149873.8</v>
      </c>
      <c r="AH10" s="217">
        <v>149873.8</v>
      </c>
      <c r="AI10" s="29">
        <v>0</v>
      </c>
      <c r="AJ10" s="234">
        <v>715510.3</v>
      </c>
      <c r="AK10" s="235">
        <v>715510.3</v>
      </c>
      <c r="AL10" s="196" t="s">
        <v>61</v>
      </c>
      <c r="AM10" s="273">
        <v>185702.6</v>
      </c>
      <c r="AN10" s="274">
        <v>185702.6</v>
      </c>
      <c r="AO10" s="196" t="s">
        <v>61</v>
      </c>
      <c r="AP10" s="31">
        <v>0</v>
      </c>
      <c r="AQ10" s="32">
        <v>0</v>
      </c>
      <c r="AR10" s="29">
        <v>0</v>
      </c>
      <c r="AS10" s="242">
        <v>1127975.08</v>
      </c>
      <c r="AT10" s="243">
        <v>1127975.08</v>
      </c>
      <c r="AU10" s="29">
        <v>0</v>
      </c>
      <c r="AV10" s="247">
        <v>368866.2</v>
      </c>
      <c r="AW10" s="248">
        <v>368866.2</v>
      </c>
      <c r="AX10" s="196" t="s">
        <v>61</v>
      </c>
      <c r="AY10" s="107">
        <f>AZ10+BA10</f>
        <v>2198893.6</v>
      </c>
      <c r="AZ10" s="108">
        <v>2198893.6</v>
      </c>
      <c r="BA10" s="29">
        <v>0</v>
      </c>
    </row>
    <row r="11" spans="1:53" ht="15.75">
      <c r="A11" s="2" t="s">
        <v>46</v>
      </c>
      <c r="B11" s="14" t="s">
        <v>54</v>
      </c>
      <c r="C11" s="210">
        <v>0</v>
      </c>
      <c r="D11" s="210">
        <v>0</v>
      </c>
      <c r="E11" s="210">
        <v>0</v>
      </c>
      <c r="F11" s="180">
        <v>0</v>
      </c>
      <c r="G11" s="181">
        <v>0</v>
      </c>
      <c r="H11" s="181">
        <v>0</v>
      </c>
      <c r="I11" s="31">
        <v>0</v>
      </c>
      <c r="J11" s="32">
        <v>0</v>
      </c>
      <c r="K11" s="196" t="s">
        <v>61</v>
      </c>
      <c r="L11" s="107">
        <v>0</v>
      </c>
      <c r="M11" s="108">
        <v>0</v>
      </c>
      <c r="N11" s="29">
        <v>0</v>
      </c>
      <c r="O11" s="107">
        <v>0</v>
      </c>
      <c r="P11" s="108">
        <v>0</v>
      </c>
      <c r="Q11" s="198" t="s">
        <v>61</v>
      </c>
      <c r="R11" s="225">
        <v>0</v>
      </c>
      <c r="S11" s="226">
        <v>0</v>
      </c>
      <c r="T11" s="198" t="s">
        <v>61</v>
      </c>
      <c r="U11" s="107">
        <v>0</v>
      </c>
      <c r="V11" s="108">
        <v>0</v>
      </c>
      <c r="W11" s="29">
        <v>0</v>
      </c>
      <c r="X11" s="287">
        <v>10374.8</v>
      </c>
      <c r="Y11" s="288">
        <v>10374.8</v>
      </c>
      <c r="Z11" s="29">
        <v>0</v>
      </c>
      <c r="AA11" s="259">
        <v>0</v>
      </c>
      <c r="AB11" s="260">
        <v>0</v>
      </c>
      <c r="AC11" s="263">
        <v>0</v>
      </c>
      <c r="AD11" s="107">
        <v>0</v>
      </c>
      <c r="AE11" s="108">
        <v>0</v>
      </c>
      <c r="AF11" s="29">
        <v>0</v>
      </c>
      <c r="AG11" s="31">
        <v>0</v>
      </c>
      <c r="AH11" s="32">
        <v>0</v>
      </c>
      <c r="AI11" s="29">
        <v>0</v>
      </c>
      <c r="AJ11" s="232">
        <v>0</v>
      </c>
      <c r="AK11" s="233">
        <v>0</v>
      </c>
      <c r="AL11" s="196" t="s">
        <v>61</v>
      </c>
      <c r="AM11" s="271">
        <v>0</v>
      </c>
      <c r="AN11" s="272">
        <v>0</v>
      </c>
      <c r="AO11" s="196" t="s">
        <v>61</v>
      </c>
      <c r="AP11" s="31">
        <v>0</v>
      </c>
      <c r="AQ11" s="32">
        <v>0</v>
      </c>
      <c r="AR11" s="29">
        <v>0</v>
      </c>
      <c r="AS11" s="107">
        <v>0</v>
      </c>
      <c r="AT11" s="108">
        <v>0</v>
      </c>
      <c r="AU11" s="29">
        <v>0</v>
      </c>
      <c r="AV11" s="107">
        <v>0</v>
      </c>
      <c r="AW11" s="108">
        <v>0</v>
      </c>
      <c r="AX11" s="196" t="s">
        <v>61</v>
      </c>
      <c r="AY11" s="107">
        <v>0</v>
      </c>
      <c r="AZ11" s="108">
        <v>0</v>
      </c>
      <c r="BA11" s="29">
        <v>0</v>
      </c>
    </row>
    <row r="16" spans="3:5" ht="15">
      <c r="C16" s="320" t="s">
        <v>85</v>
      </c>
      <c r="D16" s="321"/>
      <c r="E16" s="322"/>
    </row>
    <row r="17" spans="3:5" ht="15">
      <c r="C17" s="111" t="s">
        <v>55</v>
      </c>
      <c r="D17" s="112" t="s">
        <v>56</v>
      </c>
      <c r="E17" s="113" t="s">
        <v>57</v>
      </c>
    </row>
    <row r="18" spans="1:5" ht="15">
      <c r="A18" s="1" t="s">
        <v>39</v>
      </c>
      <c r="B18" t="s">
        <v>47</v>
      </c>
      <c r="C18" s="100">
        <v>0</v>
      </c>
      <c r="D18" s="101">
        <v>0</v>
      </c>
      <c r="E18" s="29">
        <v>0</v>
      </c>
    </row>
    <row r="19" spans="1:5" ht="15">
      <c r="A19" s="1" t="s">
        <v>40</v>
      </c>
      <c r="B19" t="s">
        <v>48</v>
      </c>
      <c r="C19" s="100">
        <v>0</v>
      </c>
      <c r="D19" s="101">
        <v>0</v>
      </c>
      <c r="E19" s="29">
        <v>0</v>
      </c>
    </row>
    <row r="20" spans="1:5" ht="15">
      <c r="A20" s="1" t="s">
        <v>41</v>
      </c>
      <c r="B20" t="s">
        <v>49</v>
      </c>
      <c r="C20" s="100">
        <v>0</v>
      </c>
      <c r="D20" s="101">
        <v>0</v>
      </c>
      <c r="E20" s="29">
        <v>0</v>
      </c>
    </row>
    <row r="21" spans="1:7" ht="15">
      <c r="A21" s="1" t="s">
        <v>42</v>
      </c>
      <c r="B21" t="s">
        <v>50</v>
      </c>
      <c r="C21" s="202">
        <f aca="true" t="shared" si="0" ref="C21:C26">D21+E21</f>
        <v>416</v>
      </c>
      <c r="D21" s="196">
        <f>D6+J6+M6+P6+S6+V6+Y6+AB6+AE6+AH6+AK6+AN6+AQ6+AT6+AW6</f>
        <v>361</v>
      </c>
      <c r="E21" s="199">
        <f>E6+K6+N6+Q6+W6+Z6+AC6+AF6+AI6+AL6+AO6+AR6+AU6+AX6</f>
        <v>55</v>
      </c>
      <c r="F21" s="279" t="s">
        <v>96</v>
      </c>
      <c r="G21" s="279"/>
    </row>
    <row r="22" spans="1:7" ht="15">
      <c r="A22" s="1" t="s">
        <v>43</v>
      </c>
      <c r="B22" t="s">
        <v>51</v>
      </c>
      <c r="C22" s="203">
        <f t="shared" si="0"/>
        <v>27513455.54</v>
      </c>
      <c r="D22" s="197">
        <f>D7+J7+M7+P7+S7+V7+Y7+AB7+AE7+AH7+AK7+AN7+AQ7+AT7+AW7</f>
        <v>27513455.54</v>
      </c>
      <c r="E22" s="198">
        <f>E7+K7+N7+Q7+W7+Z7+AC7+AF7+AI7+AL7+AO7+AR7+AU7+AX7</f>
        <v>0</v>
      </c>
      <c r="F22" s="279" t="s">
        <v>96</v>
      </c>
      <c r="G22" s="279"/>
    </row>
    <row r="23" spans="1:5" ht="15">
      <c r="A23" s="15" t="s">
        <v>62</v>
      </c>
      <c r="B23" s="16" t="s">
        <v>63</v>
      </c>
      <c r="C23" s="102">
        <f t="shared" si="0"/>
        <v>118111090.4</v>
      </c>
      <c r="D23" s="13">
        <f>D8+J8+M8+P8+S8+V8+Y8+AB8+AE8+AH8+AK8+AN8+AQ8+AT8+AW8+G8+AZ8</f>
        <v>118111090.4</v>
      </c>
      <c r="E23" s="27">
        <f>E8+N8+W8+Z8+AC8+AF8+AI8+AR8+AU8+H8</f>
        <v>0</v>
      </c>
    </row>
    <row r="24" spans="1:5" ht="15">
      <c r="A24" s="1" t="s">
        <v>44</v>
      </c>
      <c r="B24" t="s">
        <v>52</v>
      </c>
      <c r="C24" s="277">
        <f t="shared" si="0"/>
        <v>138097</v>
      </c>
      <c r="D24" s="278">
        <f>D9+J9+M9+P9+S9+V9+Y9+AB9+AE9+AH9+AK9+AN9+AQ9+AT9+AW9+G9</f>
        <v>138097</v>
      </c>
      <c r="E24" s="29">
        <f>E9+N9+W9+Z9+AC9+AF9+AI9+AR9+AU9+H9</f>
        <v>0</v>
      </c>
    </row>
    <row r="25" spans="1:5" ht="15">
      <c r="A25" s="1" t="s">
        <v>45</v>
      </c>
      <c r="B25" t="s">
        <v>53</v>
      </c>
      <c r="C25" s="277">
        <f t="shared" si="0"/>
        <v>5938418.550000001</v>
      </c>
      <c r="D25" s="278">
        <f>D10+J10+M10+P10+S10+V10+Y10+AB10+AE10+AH10+AK10+AN10+AQ10+AT10+AW10+G10+AZ10</f>
        <v>5938418.550000001</v>
      </c>
      <c r="E25" s="29">
        <f>E10+N10+W10+Z10+AC10+AF10+AI10+AR10+AU10+H10</f>
        <v>0</v>
      </c>
    </row>
    <row r="26" spans="1:5" ht="15.75">
      <c r="A26" s="2" t="s">
        <v>46</v>
      </c>
      <c r="B26" t="s">
        <v>54</v>
      </c>
      <c r="C26" s="287">
        <f t="shared" si="0"/>
        <v>10374.8</v>
      </c>
      <c r="D26" s="288">
        <f>D11+G11+J11+M11+P11+S11+V11+Y11+AB11+AE11+AH11+AK11+AN11+AQ11+AT11+AW11</f>
        <v>10374.8</v>
      </c>
      <c r="E26" s="29">
        <v>0</v>
      </c>
    </row>
  </sheetData>
  <sheetProtection/>
  <mergeCells count="18">
    <mergeCell ref="U1:W1"/>
    <mergeCell ref="AD1:AF1"/>
    <mergeCell ref="AS1:AU1"/>
    <mergeCell ref="AV1:AX1"/>
    <mergeCell ref="AY1:BA1"/>
    <mergeCell ref="C16:E16"/>
    <mergeCell ref="AG1:AI1"/>
    <mergeCell ref="AJ1:AL1"/>
    <mergeCell ref="AM1:AO1"/>
    <mergeCell ref="AP1:AR1"/>
    <mergeCell ref="C1:E1"/>
    <mergeCell ref="F1:H1"/>
    <mergeCell ref="I1:K1"/>
    <mergeCell ref="R1:T1"/>
    <mergeCell ref="AA1:AC1"/>
    <mergeCell ref="O1:Q1"/>
    <mergeCell ref="L1:N1"/>
    <mergeCell ref="X1:Z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"/>
  <sheetViews>
    <sheetView zoomScalePageLayoutView="0" workbookViewId="0" topLeftCell="AO1">
      <selection activeCell="AT22" sqref="AT22"/>
    </sheetView>
  </sheetViews>
  <sheetFormatPr defaultColWidth="11.421875" defaultRowHeight="15"/>
  <cols>
    <col min="1" max="1" width="23.00390625" style="0" customWidth="1"/>
    <col min="2" max="2" width="13.8515625" style="0" customWidth="1"/>
    <col min="4" max="5" width="11.421875" style="12" customWidth="1"/>
  </cols>
  <sheetData>
    <row r="1" spans="2:53" ht="15">
      <c r="B1" s="14"/>
      <c r="C1" s="323" t="s">
        <v>74</v>
      </c>
      <c r="D1" s="324"/>
      <c r="E1" s="325"/>
      <c r="F1" s="326" t="s">
        <v>77</v>
      </c>
      <c r="G1" s="326"/>
      <c r="H1" s="326"/>
      <c r="I1" s="327" t="s">
        <v>78</v>
      </c>
      <c r="J1" s="328"/>
      <c r="K1" s="329"/>
      <c r="L1" s="385" t="s">
        <v>86</v>
      </c>
      <c r="M1" s="385"/>
      <c r="N1" s="385"/>
      <c r="O1" s="333" t="s">
        <v>87</v>
      </c>
      <c r="P1" s="334"/>
      <c r="Q1" s="335"/>
      <c r="R1" s="349" t="s">
        <v>79</v>
      </c>
      <c r="S1" s="350"/>
      <c r="T1" s="351"/>
      <c r="U1" s="356" t="s">
        <v>90</v>
      </c>
      <c r="V1" s="357"/>
      <c r="W1" s="358"/>
      <c r="X1" s="354" t="s">
        <v>89</v>
      </c>
      <c r="Y1" s="354"/>
      <c r="Z1" s="355"/>
      <c r="AA1" s="352" t="s">
        <v>84</v>
      </c>
      <c r="AB1" s="352"/>
      <c r="AC1" s="352"/>
      <c r="AD1" s="336" t="s">
        <v>88</v>
      </c>
      <c r="AE1" s="337"/>
      <c r="AF1" s="338"/>
      <c r="AG1" s="339" t="s">
        <v>80</v>
      </c>
      <c r="AH1" s="340"/>
      <c r="AI1" s="341"/>
      <c r="AJ1" s="342" t="s">
        <v>81</v>
      </c>
      <c r="AK1" s="343"/>
      <c r="AL1" s="344"/>
      <c r="AM1" s="345" t="s">
        <v>82</v>
      </c>
      <c r="AN1" s="345"/>
      <c r="AO1" s="345"/>
      <c r="AP1" s="330" t="s">
        <v>83</v>
      </c>
      <c r="AQ1" s="331"/>
      <c r="AR1" s="332"/>
      <c r="AS1" s="311" t="s">
        <v>91</v>
      </c>
      <c r="AT1" s="312"/>
      <c r="AU1" s="313"/>
      <c r="AV1" s="314" t="s">
        <v>92</v>
      </c>
      <c r="AW1" s="315"/>
      <c r="AX1" s="316"/>
      <c r="AY1" s="317" t="s">
        <v>93</v>
      </c>
      <c r="AZ1" s="318"/>
      <c r="BA1" s="319"/>
    </row>
    <row r="2" spans="2:53" s="16" customFormat="1" ht="15">
      <c r="B2" s="25"/>
      <c r="C2" s="33" t="s">
        <v>55</v>
      </c>
      <c r="D2" s="34" t="s">
        <v>56</v>
      </c>
      <c r="E2" s="35" t="s">
        <v>57</v>
      </c>
      <c r="F2" s="63" t="s">
        <v>55</v>
      </c>
      <c r="G2" s="42" t="s">
        <v>56</v>
      </c>
      <c r="H2" s="43" t="s">
        <v>57</v>
      </c>
      <c r="I2" s="37" t="s">
        <v>55</v>
      </c>
      <c r="J2" s="38" t="s">
        <v>56</v>
      </c>
      <c r="K2" s="39" t="s">
        <v>57</v>
      </c>
      <c r="L2" s="129" t="s">
        <v>55</v>
      </c>
      <c r="M2" s="130" t="s">
        <v>56</v>
      </c>
      <c r="N2" s="131" t="s">
        <v>57</v>
      </c>
      <c r="O2" s="118" t="s">
        <v>55</v>
      </c>
      <c r="P2" s="119" t="s">
        <v>56</v>
      </c>
      <c r="Q2" s="120" t="s">
        <v>57</v>
      </c>
      <c r="R2" s="52" t="s">
        <v>55</v>
      </c>
      <c r="S2" s="53" t="s">
        <v>56</v>
      </c>
      <c r="T2" s="54" t="s">
        <v>57</v>
      </c>
      <c r="U2" s="132" t="s">
        <v>55</v>
      </c>
      <c r="V2" s="133" t="s">
        <v>56</v>
      </c>
      <c r="W2" s="134" t="s">
        <v>57</v>
      </c>
      <c r="X2" s="135" t="s">
        <v>55</v>
      </c>
      <c r="Y2" s="136" t="s">
        <v>56</v>
      </c>
      <c r="Z2" s="137" t="s">
        <v>57</v>
      </c>
      <c r="AA2" s="64" t="s">
        <v>55</v>
      </c>
      <c r="AB2" s="65" t="s">
        <v>56</v>
      </c>
      <c r="AC2" s="66" t="s">
        <v>57</v>
      </c>
      <c r="AD2" s="138" t="s">
        <v>55</v>
      </c>
      <c r="AE2" s="139" t="s">
        <v>56</v>
      </c>
      <c r="AF2" s="140" t="s">
        <v>57</v>
      </c>
      <c r="AG2" s="49" t="s">
        <v>55</v>
      </c>
      <c r="AH2" s="50" t="s">
        <v>56</v>
      </c>
      <c r="AI2" s="51" t="s">
        <v>57</v>
      </c>
      <c r="AJ2" s="56" t="s">
        <v>55</v>
      </c>
      <c r="AK2" s="57" t="s">
        <v>56</v>
      </c>
      <c r="AL2" s="58" t="s">
        <v>57</v>
      </c>
      <c r="AM2" s="67" t="s">
        <v>55</v>
      </c>
      <c r="AN2" s="68" t="s">
        <v>56</v>
      </c>
      <c r="AO2" s="69" t="s">
        <v>57</v>
      </c>
      <c r="AP2" s="60" t="s">
        <v>55</v>
      </c>
      <c r="AQ2" s="61" t="s">
        <v>56</v>
      </c>
      <c r="AR2" s="62" t="s">
        <v>57</v>
      </c>
      <c r="AS2" s="155" t="s">
        <v>55</v>
      </c>
      <c r="AT2" s="156" t="s">
        <v>56</v>
      </c>
      <c r="AU2" s="157" t="s">
        <v>57</v>
      </c>
      <c r="AV2" s="158" t="s">
        <v>55</v>
      </c>
      <c r="AW2" s="159" t="s">
        <v>56</v>
      </c>
      <c r="AX2" s="160" t="s">
        <v>57</v>
      </c>
      <c r="AY2" s="161" t="s">
        <v>55</v>
      </c>
      <c r="AZ2" s="162" t="s">
        <v>56</v>
      </c>
      <c r="BA2" s="163" t="s">
        <v>57</v>
      </c>
    </row>
    <row r="3" spans="1:53" ht="15">
      <c r="A3" s="1" t="s">
        <v>67</v>
      </c>
      <c r="B3" s="14" t="s">
        <v>70</v>
      </c>
      <c r="C3" s="106" t="s">
        <v>61</v>
      </c>
      <c r="D3" s="104">
        <v>42109</v>
      </c>
      <c r="E3" s="199" t="s">
        <v>94</v>
      </c>
      <c r="F3" s="106" t="s">
        <v>61</v>
      </c>
      <c r="G3" s="104">
        <v>42144</v>
      </c>
      <c r="H3" s="105"/>
      <c r="I3" s="106" t="s">
        <v>61</v>
      </c>
      <c r="J3" s="104">
        <v>42116</v>
      </c>
      <c r="K3" s="105">
        <v>42137</v>
      </c>
      <c r="L3" s="106" t="s">
        <v>61</v>
      </c>
      <c r="M3" s="104">
        <v>42109</v>
      </c>
      <c r="N3" s="104">
        <v>42109</v>
      </c>
      <c r="O3" s="106" t="s">
        <v>61</v>
      </c>
      <c r="P3" s="104">
        <v>42038</v>
      </c>
      <c r="Q3" s="104">
        <v>42038</v>
      </c>
      <c r="R3" s="106" t="s">
        <v>61</v>
      </c>
      <c r="S3" s="104">
        <v>42123</v>
      </c>
      <c r="T3" s="199" t="s">
        <v>61</v>
      </c>
      <c r="U3" s="106" t="s">
        <v>61</v>
      </c>
      <c r="V3" s="104">
        <v>42095</v>
      </c>
      <c r="W3" s="104">
        <v>42137</v>
      </c>
      <c r="X3" s="106" t="s">
        <v>61</v>
      </c>
      <c r="Y3" s="104">
        <v>42144</v>
      </c>
      <c r="Z3" s="105">
        <v>42158</v>
      </c>
      <c r="AA3" s="106" t="s">
        <v>61</v>
      </c>
      <c r="AB3" s="104">
        <v>42095</v>
      </c>
      <c r="AC3" s="105">
        <v>42116</v>
      </c>
      <c r="AD3" s="106" t="s">
        <v>61</v>
      </c>
      <c r="AE3" s="104">
        <v>42109</v>
      </c>
      <c r="AF3" s="199" t="s">
        <v>94</v>
      </c>
      <c r="AG3" s="106" t="s">
        <v>61</v>
      </c>
      <c r="AH3" s="104">
        <v>42123</v>
      </c>
      <c r="AI3" s="105">
        <v>42130</v>
      </c>
      <c r="AJ3" s="106" t="s">
        <v>61</v>
      </c>
      <c r="AK3" s="104">
        <v>42137</v>
      </c>
      <c r="AL3" s="199" t="s">
        <v>94</v>
      </c>
      <c r="AM3" s="106" t="s">
        <v>61</v>
      </c>
      <c r="AN3" s="104">
        <v>42109</v>
      </c>
      <c r="AO3" s="104">
        <v>42109</v>
      </c>
      <c r="AP3" s="106" t="s">
        <v>61</v>
      </c>
      <c r="AQ3" s="104">
        <v>42137</v>
      </c>
      <c r="AR3" s="105">
        <v>42158</v>
      </c>
      <c r="AS3" s="106" t="s">
        <v>61</v>
      </c>
      <c r="AT3" s="104">
        <v>42151</v>
      </c>
      <c r="AU3" s="104">
        <v>42109</v>
      </c>
      <c r="AV3" s="106" t="s">
        <v>61</v>
      </c>
      <c r="AW3" s="104">
        <v>42109</v>
      </c>
      <c r="AX3" s="199" t="s">
        <v>94</v>
      </c>
      <c r="AY3" s="106" t="s">
        <v>61</v>
      </c>
      <c r="AZ3" s="299">
        <v>42214</v>
      </c>
      <c r="BA3" s="105">
        <v>42228</v>
      </c>
    </row>
    <row r="4" spans="1:53" ht="15">
      <c r="A4" s="1" t="s">
        <v>68</v>
      </c>
      <c r="B4" s="14" t="s">
        <v>71</v>
      </c>
      <c r="C4" s="106" t="s">
        <v>61</v>
      </c>
      <c r="D4" s="386">
        <v>42205</v>
      </c>
      <c r="E4" s="387"/>
      <c r="F4" s="106" t="s">
        <v>61</v>
      </c>
      <c r="G4" s="386">
        <v>42205</v>
      </c>
      <c r="H4" s="387"/>
      <c r="I4" s="106" t="s">
        <v>61</v>
      </c>
      <c r="J4" s="104">
        <v>42205</v>
      </c>
      <c r="K4" s="199" t="s">
        <v>61</v>
      </c>
      <c r="L4" s="106" t="s">
        <v>61</v>
      </c>
      <c r="M4" s="386">
        <v>42205</v>
      </c>
      <c r="N4" s="387"/>
      <c r="O4" s="106" t="s">
        <v>61</v>
      </c>
      <c r="P4" s="246">
        <v>42205</v>
      </c>
      <c r="Q4" s="199" t="s">
        <v>61</v>
      </c>
      <c r="R4" s="106" t="s">
        <v>61</v>
      </c>
      <c r="S4" s="230">
        <v>42205</v>
      </c>
      <c r="T4" s="199" t="s">
        <v>61</v>
      </c>
      <c r="U4" s="106" t="s">
        <v>61</v>
      </c>
      <c r="V4" s="386">
        <v>42205</v>
      </c>
      <c r="W4" s="387"/>
      <c r="X4" s="106" t="s">
        <v>61</v>
      </c>
      <c r="Y4" s="386">
        <v>42205</v>
      </c>
      <c r="Z4" s="387"/>
      <c r="AA4" s="106" t="s">
        <v>61</v>
      </c>
      <c r="AB4" s="386">
        <v>42205</v>
      </c>
      <c r="AC4" s="387"/>
      <c r="AD4" s="106" t="s">
        <v>61</v>
      </c>
      <c r="AE4" s="269">
        <v>42205</v>
      </c>
      <c r="AF4" s="199" t="s">
        <v>61</v>
      </c>
      <c r="AG4" s="106" t="s">
        <v>61</v>
      </c>
      <c r="AH4" s="386">
        <v>42205</v>
      </c>
      <c r="AI4" s="387"/>
      <c r="AJ4" s="106" t="s">
        <v>61</v>
      </c>
      <c r="AK4" s="236">
        <v>42205</v>
      </c>
      <c r="AL4" s="199" t="s">
        <v>61</v>
      </c>
      <c r="AM4" s="106" t="s">
        <v>61</v>
      </c>
      <c r="AN4" s="276">
        <v>42205</v>
      </c>
      <c r="AO4" s="199" t="s">
        <v>61</v>
      </c>
      <c r="AP4" s="106" t="s">
        <v>61</v>
      </c>
      <c r="AQ4" s="386">
        <v>42205</v>
      </c>
      <c r="AR4" s="387"/>
      <c r="AS4" s="106" t="s">
        <v>61</v>
      </c>
      <c r="AT4" s="386">
        <v>42205</v>
      </c>
      <c r="AU4" s="387"/>
      <c r="AV4" s="106" t="s">
        <v>61</v>
      </c>
      <c r="AW4" s="249">
        <v>42205</v>
      </c>
      <c r="AX4" s="199" t="s">
        <v>61</v>
      </c>
      <c r="AY4" s="106" t="s">
        <v>61</v>
      </c>
      <c r="AZ4" s="386">
        <v>42249</v>
      </c>
      <c r="BA4" s="387"/>
    </row>
    <row r="5" spans="1:53" ht="15.75">
      <c r="A5" s="2" t="s">
        <v>73</v>
      </c>
      <c r="B5" s="14" t="s">
        <v>59</v>
      </c>
      <c r="C5" s="180"/>
      <c r="D5" s="181"/>
      <c r="E5" s="29"/>
      <c r="F5" s="180"/>
      <c r="G5" s="181"/>
      <c r="H5" s="29"/>
      <c r="I5" s="31"/>
      <c r="J5" s="32"/>
      <c r="K5" s="29"/>
      <c r="L5" s="107"/>
      <c r="M5" s="108"/>
      <c r="N5" s="29"/>
      <c r="O5" s="107"/>
      <c r="P5" s="108"/>
      <c r="Q5" s="29"/>
      <c r="R5" s="31"/>
      <c r="S5" s="32"/>
      <c r="T5" s="29"/>
      <c r="U5" s="108"/>
      <c r="V5" s="108"/>
      <c r="W5" s="108"/>
      <c r="X5" s="107"/>
      <c r="Y5" s="108"/>
      <c r="Z5" s="29"/>
      <c r="AA5" s="31"/>
      <c r="AB5" s="32"/>
      <c r="AC5" s="29"/>
      <c r="AD5" s="107"/>
      <c r="AE5" s="108"/>
      <c r="AF5" s="29"/>
      <c r="AG5" s="31"/>
      <c r="AH5" s="32"/>
      <c r="AI5" s="29"/>
      <c r="AJ5" s="31"/>
      <c r="AK5" s="32"/>
      <c r="AL5" s="29"/>
      <c r="AM5" s="31"/>
      <c r="AN5" s="32"/>
      <c r="AO5" s="29"/>
      <c r="AP5" s="31"/>
      <c r="AQ5" s="32"/>
      <c r="AR5" s="29"/>
      <c r="AS5" s="107"/>
      <c r="AT5" s="108"/>
      <c r="AU5" s="29"/>
      <c r="AV5" s="107"/>
      <c r="AW5" s="108"/>
      <c r="AX5" s="29"/>
      <c r="AY5" s="107"/>
      <c r="AZ5" s="108"/>
      <c r="BA5" s="29"/>
    </row>
    <row r="6" spans="1:53" ht="15.75">
      <c r="A6" s="2" t="s">
        <v>72</v>
      </c>
      <c r="B6" s="14" t="s">
        <v>58</v>
      </c>
      <c r="C6" s="180"/>
      <c r="D6" s="181"/>
      <c r="E6" s="29"/>
      <c r="F6" s="180"/>
      <c r="G6" s="181"/>
      <c r="H6" s="29"/>
      <c r="I6" s="31"/>
      <c r="J6" s="32"/>
      <c r="K6" s="29"/>
      <c r="L6" s="107"/>
      <c r="M6" s="108"/>
      <c r="N6" s="29"/>
      <c r="O6" s="107"/>
      <c r="P6" s="108"/>
      <c r="Q6" s="29"/>
      <c r="R6" s="31"/>
      <c r="S6" s="32"/>
      <c r="T6" s="29"/>
      <c r="U6" s="108"/>
      <c r="V6" s="108"/>
      <c r="W6" s="108"/>
      <c r="X6" s="107"/>
      <c r="Y6" s="108"/>
      <c r="Z6" s="29"/>
      <c r="AA6" s="31"/>
      <c r="AB6" s="32"/>
      <c r="AC6" s="29"/>
      <c r="AD6" s="107"/>
      <c r="AE6" s="108"/>
      <c r="AF6" s="29"/>
      <c r="AG6" s="31"/>
      <c r="AH6" s="32"/>
      <c r="AI6" s="29"/>
      <c r="AJ6" s="31"/>
      <c r="AK6" s="32"/>
      <c r="AL6" s="29"/>
      <c r="AM6" s="31"/>
      <c r="AN6" s="32"/>
      <c r="AO6" s="29"/>
      <c r="AP6" s="31"/>
      <c r="AQ6" s="32"/>
      <c r="AR6" s="29"/>
      <c r="AS6" s="107"/>
      <c r="AT6" s="108"/>
      <c r="AU6" s="29"/>
      <c r="AV6" s="107"/>
      <c r="AW6" s="108"/>
      <c r="AX6" s="29"/>
      <c r="AY6" s="107"/>
      <c r="AZ6" s="108"/>
      <c r="BA6" s="29"/>
    </row>
  </sheetData>
  <sheetProtection/>
  <mergeCells count="27">
    <mergeCell ref="AZ4:BA4"/>
    <mergeCell ref="AT4:AU4"/>
    <mergeCell ref="AS1:AU1"/>
    <mergeCell ref="AV1:AX1"/>
    <mergeCell ref="AY1:BA1"/>
    <mergeCell ref="AJ1:AL1"/>
    <mergeCell ref="AM1:AO1"/>
    <mergeCell ref="O1:Q1"/>
    <mergeCell ref="L1:N1"/>
    <mergeCell ref="X1:Z1"/>
    <mergeCell ref="AD1:AF1"/>
    <mergeCell ref="AH4:AI4"/>
    <mergeCell ref="U1:W1"/>
    <mergeCell ref="D4:E4"/>
    <mergeCell ref="AQ4:AR4"/>
    <mergeCell ref="M4:N4"/>
    <mergeCell ref="V4:W4"/>
    <mergeCell ref="G4:H4"/>
    <mergeCell ref="AB4:AC4"/>
    <mergeCell ref="Y4:Z4"/>
    <mergeCell ref="C1:E1"/>
    <mergeCell ref="F1:H1"/>
    <mergeCell ref="I1:K1"/>
    <mergeCell ref="AP1:AR1"/>
    <mergeCell ref="R1:T1"/>
    <mergeCell ref="AA1:AC1"/>
    <mergeCell ref="AG1:A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Monika Gilas</dc:creator>
  <cp:keywords/>
  <dc:description/>
  <cp:lastModifiedBy>Alma Verónica Méndez Pacheco</cp:lastModifiedBy>
  <cp:lastPrinted>2015-07-15T18:12:27Z</cp:lastPrinted>
  <dcterms:created xsi:type="dcterms:W3CDTF">2015-07-07T23:11:29Z</dcterms:created>
  <dcterms:modified xsi:type="dcterms:W3CDTF">2015-10-27T18:38:57Z</dcterms:modified>
  <cp:category/>
  <cp:version/>
  <cp:contentType/>
  <cp:contentStatus/>
</cp:coreProperties>
</file>